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860" windowHeight="11520"/>
  </bookViews>
  <sheets>
    <sheet name="rptLBMultiReport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5" i="1" l="1"/>
  <c r="A1" i="1" l="1"/>
  <c r="B1" i="1"/>
  <c r="C1" i="1"/>
  <c r="D1" i="1"/>
  <c r="E1" i="1"/>
  <c r="A2" i="1"/>
  <c r="B2" i="1"/>
  <c r="C2" i="1"/>
  <c r="A3" i="1"/>
  <c r="B3" i="1"/>
  <c r="C3" i="1"/>
  <c r="A4" i="1"/>
  <c r="B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32" i="1"/>
  <c r="B32" i="1"/>
  <c r="C32" i="1"/>
  <c r="A33" i="1"/>
  <c r="B33" i="1"/>
  <c r="C33" i="1"/>
  <c r="A34" i="1"/>
  <c r="B34" i="1"/>
  <c r="C34" i="1"/>
  <c r="A35" i="1"/>
  <c r="B35" i="1"/>
  <c r="C35" i="1"/>
  <c r="A36" i="1"/>
  <c r="B36" i="1"/>
  <c r="C36" i="1"/>
  <c r="A37" i="1"/>
  <c r="B37" i="1"/>
  <c r="C37" i="1"/>
  <c r="A38" i="1"/>
  <c r="B38" i="1"/>
  <c r="C38" i="1"/>
  <c r="A39" i="1"/>
  <c r="B39" i="1"/>
  <c r="C39" i="1"/>
  <c r="A40" i="1"/>
  <c r="B40" i="1"/>
  <c r="C40" i="1"/>
  <c r="A41" i="1"/>
  <c r="B41" i="1"/>
  <c r="C41" i="1"/>
  <c r="A42" i="1"/>
  <c r="B42" i="1"/>
  <c r="C42" i="1"/>
  <c r="A43" i="1"/>
  <c r="B43" i="1"/>
  <c r="C43" i="1"/>
  <c r="A44" i="1"/>
  <c r="B44" i="1"/>
  <c r="C44" i="1"/>
  <c r="A45" i="1"/>
  <c r="B45" i="1"/>
  <c r="C45" i="1"/>
  <c r="A46" i="1"/>
  <c r="B46" i="1"/>
  <c r="C46" i="1"/>
  <c r="A47" i="1"/>
  <c r="B47" i="1"/>
  <c r="C47" i="1"/>
  <c r="A48" i="1"/>
  <c r="B48" i="1"/>
  <c r="C48" i="1"/>
  <c r="A49" i="1"/>
  <c r="B49" i="1"/>
  <c r="C49" i="1"/>
  <c r="A50" i="1"/>
  <c r="B50" i="1"/>
  <c r="C50" i="1"/>
  <c r="A51" i="1"/>
  <c r="B51" i="1"/>
  <c r="C51" i="1"/>
  <c r="A52" i="1"/>
  <c r="B52" i="1"/>
  <c r="C52" i="1"/>
  <c r="A53" i="1"/>
  <c r="B53" i="1"/>
  <c r="C53" i="1"/>
  <c r="A54" i="1"/>
  <c r="B54" i="1"/>
  <c r="C54" i="1"/>
  <c r="A55" i="1"/>
  <c r="B55" i="1"/>
  <c r="C55" i="1"/>
  <c r="A56" i="1"/>
  <c r="B56" i="1"/>
  <c r="C56" i="1"/>
  <c r="A57" i="1"/>
  <c r="B57" i="1"/>
  <c r="C57" i="1"/>
  <c r="A58" i="1"/>
  <c r="B58" i="1"/>
  <c r="C58" i="1"/>
  <c r="A59" i="1"/>
  <c r="B59" i="1"/>
  <c r="C59" i="1"/>
  <c r="A60" i="1"/>
  <c r="B60" i="1"/>
  <c r="C60" i="1"/>
  <c r="A61" i="1"/>
  <c r="B61" i="1"/>
  <c r="C61" i="1"/>
  <c r="A62" i="1"/>
  <c r="B62" i="1"/>
  <c r="C62" i="1"/>
  <c r="A63" i="1"/>
  <c r="B63" i="1"/>
  <c r="C63" i="1"/>
  <c r="A64" i="1"/>
  <c r="B64" i="1"/>
  <c r="C64" i="1"/>
  <c r="A65" i="1"/>
  <c r="B65" i="1"/>
  <c r="C65" i="1"/>
  <c r="A66" i="1"/>
  <c r="B66" i="1"/>
  <c r="C66" i="1"/>
  <c r="A67" i="1"/>
  <c r="B67" i="1"/>
  <c r="C67" i="1"/>
  <c r="A68" i="1"/>
  <c r="B68" i="1"/>
  <c r="C68" i="1"/>
  <c r="A69" i="1"/>
  <c r="B69" i="1"/>
  <c r="C69" i="1"/>
  <c r="A70" i="1"/>
  <c r="B70" i="1"/>
  <c r="C70" i="1"/>
  <c r="A71" i="1"/>
  <c r="B71" i="1"/>
  <c r="C71" i="1"/>
  <c r="A72" i="1"/>
  <c r="B72" i="1"/>
  <c r="C72" i="1"/>
  <c r="A73" i="1"/>
  <c r="B73" i="1"/>
  <c r="C73" i="1"/>
  <c r="A74" i="1"/>
  <c r="B74" i="1"/>
  <c r="C74" i="1"/>
  <c r="A75" i="1"/>
  <c r="B75" i="1"/>
  <c r="C75" i="1"/>
  <c r="A76" i="1"/>
  <c r="B76" i="1"/>
  <c r="C76" i="1"/>
  <c r="A77" i="1"/>
  <c r="B77" i="1"/>
  <c r="C77" i="1"/>
  <c r="A78" i="1"/>
  <c r="B78" i="1"/>
  <c r="C78" i="1"/>
  <c r="A79" i="1"/>
  <c r="B79" i="1"/>
  <c r="C79" i="1"/>
  <c r="A80" i="1"/>
  <c r="B80" i="1"/>
  <c r="C80" i="1"/>
  <c r="A81" i="1"/>
  <c r="B81" i="1"/>
  <c r="C81" i="1"/>
  <c r="A82" i="1"/>
  <c r="B82" i="1"/>
  <c r="C82" i="1"/>
  <c r="A83" i="1"/>
  <c r="B83" i="1"/>
  <c r="C83" i="1"/>
  <c r="A84" i="1"/>
  <c r="B84" i="1"/>
  <c r="C84" i="1"/>
  <c r="A85" i="1"/>
  <c r="B85" i="1"/>
  <c r="C85" i="1"/>
  <c r="A86" i="1"/>
  <c r="B86" i="1"/>
  <c r="C86" i="1"/>
  <c r="A87" i="1"/>
  <c r="B87" i="1"/>
  <c r="C87" i="1"/>
  <c r="A88" i="1"/>
  <c r="B88" i="1"/>
  <c r="C88" i="1"/>
  <c r="A89" i="1"/>
  <c r="B89" i="1"/>
  <c r="C89" i="1"/>
  <c r="A90" i="1"/>
  <c r="B90" i="1"/>
  <c r="C90" i="1"/>
  <c r="A91" i="1"/>
  <c r="B91" i="1"/>
  <c r="C91" i="1"/>
  <c r="A92" i="1"/>
  <c r="B92" i="1"/>
  <c r="C92" i="1"/>
  <c r="A93" i="1"/>
  <c r="B93" i="1"/>
  <c r="C93" i="1"/>
  <c r="A94" i="1"/>
  <c r="B94" i="1"/>
  <c r="C94" i="1"/>
  <c r="A95" i="1"/>
  <c r="B95" i="1"/>
  <c r="C95" i="1"/>
  <c r="A96" i="1"/>
  <c r="B96" i="1"/>
  <c r="C96" i="1"/>
  <c r="A97" i="1"/>
  <c r="B97" i="1"/>
  <c r="C97" i="1"/>
  <c r="A98" i="1"/>
  <c r="B98" i="1"/>
  <c r="C98" i="1"/>
  <c r="A99" i="1"/>
  <c r="B99" i="1"/>
  <c r="C99" i="1"/>
  <c r="A100" i="1"/>
  <c r="B100" i="1"/>
  <c r="C100" i="1"/>
  <c r="A101" i="1"/>
  <c r="B101" i="1"/>
  <c r="C101" i="1"/>
  <c r="A102" i="1"/>
  <c r="B102" i="1"/>
  <c r="C102" i="1"/>
  <c r="A103" i="1"/>
  <c r="B103" i="1"/>
  <c r="C103" i="1"/>
  <c r="A104" i="1"/>
  <c r="B104" i="1"/>
  <c r="C104" i="1"/>
  <c r="A105" i="1"/>
  <c r="B105" i="1"/>
  <c r="C105" i="1"/>
  <c r="A106" i="1"/>
  <c r="B106" i="1"/>
  <c r="C106" i="1"/>
  <c r="A107" i="1"/>
  <c r="B107" i="1"/>
  <c r="C107" i="1"/>
  <c r="A108" i="1"/>
  <c r="B108" i="1"/>
  <c r="C108" i="1"/>
  <c r="A109" i="1"/>
  <c r="B109" i="1"/>
  <c r="C109" i="1"/>
  <c r="A110" i="1"/>
  <c r="B110" i="1"/>
  <c r="C110" i="1"/>
  <c r="A111" i="1"/>
  <c r="B111" i="1"/>
  <c r="C111" i="1"/>
  <c r="A112" i="1"/>
  <c r="B112" i="1"/>
  <c r="C112" i="1"/>
  <c r="A113" i="1"/>
  <c r="B113" i="1"/>
  <c r="C113" i="1"/>
  <c r="A114" i="1"/>
  <c r="B114" i="1"/>
  <c r="C114" i="1"/>
  <c r="A115" i="1"/>
  <c r="B115" i="1"/>
  <c r="C115" i="1"/>
  <c r="A116" i="1"/>
  <c r="B116" i="1"/>
  <c r="C116" i="1"/>
  <c r="A117" i="1"/>
  <c r="B117" i="1"/>
  <c r="C117" i="1"/>
  <c r="A118" i="1"/>
  <c r="B118" i="1"/>
  <c r="C118" i="1"/>
  <c r="A119" i="1"/>
  <c r="B119" i="1"/>
  <c r="C119" i="1"/>
  <c r="A120" i="1"/>
  <c r="B120" i="1"/>
  <c r="C120" i="1"/>
  <c r="A121" i="1"/>
  <c r="B121" i="1"/>
  <c r="C121" i="1"/>
  <c r="A122" i="1"/>
  <c r="B122" i="1"/>
  <c r="C122" i="1"/>
  <c r="A123" i="1"/>
  <c r="B123" i="1"/>
  <c r="C123" i="1"/>
  <c r="A124" i="1"/>
  <c r="B124" i="1"/>
  <c r="C124" i="1"/>
  <c r="A125" i="1"/>
  <c r="B125" i="1"/>
  <c r="C125" i="1"/>
  <c r="A126" i="1"/>
  <c r="B126" i="1"/>
  <c r="C126" i="1"/>
  <c r="A127" i="1"/>
  <c r="B127" i="1"/>
  <c r="C127" i="1"/>
  <c r="A128" i="1"/>
  <c r="B128" i="1"/>
  <c r="C128" i="1"/>
  <c r="A129" i="1"/>
  <c r="B129" i="1"/>
  <c r="C129" i="1"/>
  <c r="A130" i="1"/>
  <c r="B130" i="1"/>
  <c r="C130" i="1"/>
  <c r="A131" i="1"/>
  <c r="B131" i="1"/>
  <c r="C131" i="1"/>
  <c r="A132" i="1"/>
  <c r="B132" i="1"/>
  <c r="C132" i="1"/>
  <c r="A133" i="1"/>
  <c r="B133" i="1"/>
  <c r="C133" i="1"/>
  <c r="A134" i="1"/>
  <c r="B134" i="1"/>
  <c r="C134" i="1"/>
  <c r="A135" i="1"/>
  <c r="B135" i="1"/>
  <c r="C135" i="1"/>
  <c r="A136" i="1"/>
  <c r="B136" i="1"/>
  <c r="C136" i="1"/>
  <c r="A137" i="1"/>
  <c r="B137" i="1"/>
  <c r="C137" i="1"/>
  <c r="A138" i="1"/>
  <c r="B138" i="1"/>
  <c r="C138" i="1"/>
  <c r="A139" i="1"/>
  <c r="B139" i="1"/>
  <c r="C139" i="1"/>
  <c r="A140" i="1"/>
  <c r="B140" i="1"/>
  <c r="C140" i="1"/>
  <c r="A141" i="1"/>
  <c r="B141" i="1"/>
  <c r="C141" i="1"/>
  <c r="A142" i="1"/>
  <c r="B142" i="1"/>
  <c r="C142" i="1"/>
  <c r="A143" i="1"/>
  <c r="B143" i="1"/>
  <c r="C143" i="1"/>
  <c r="A144" i="1"/>
  <c r="B144" i="1"/>
  <c r="C144" i="1"/>
  <c r="A145" i="1"/>
  <c r="B145" i="1"/>
  <c r="C145" i="1"/>
  <c r="A146" i="1"/>
  <c r="B146" i="1"/>
  <c r="C146" i="1"/>
  <c r="A147" i="1"/>
  <c r="B147" i="1"/>
  <c r="C147" i="1"/>
  <c r="A148" i="1"/>
  <c r="B148" i="1"/>
  <c r="C148" i="1"/>
  <c r="A149" i="1"/>
  <c r="B149" i="1"/>
  <c r="C149" i="1"/>
  <c r="A150" i="1"/>
  <c r="B150" i="1"/>
  <c r="C150" i="1"/>
  <c r="A151" i="1"/>
  <c r="B151" i="1"/>
  <c r="C151" i="1"/>
  <c r="A152" i="1"/>
  <c r="B152" i="1"/>
  <c r="C152" i="1"/>
  <c r="A153" i="1"/>
  <c r="B153" i="1"/>
  <c r="C153" i="1"/>
  <c r="A154" i="1"/>
  <c r="B154" i="1"/>
  <c r="C154" i="1"/>
  <c r="A155" i="1"/>
  <c r="B155" i="1"/>
  <c r="C155" i="1"/>
  <c r="A156" i="1"/>
  <c r="B156" i="1"/>
  <c r="C156" i="1"/>
  <c r="A157" i="1"/>
  <c r="B157" i="1"/>
  <c r="C157" i="1"/>
  <c r="A158" i="1"/>
  <c r="B158" i="1"/>
  <c r="C158" i="1"/>
  <c r="A159" i="1"/>
  <c r="B159" i="1"/>
  <c r="C159" i="1"/>
  <c r="A160" i="1"/>
  <c r="B160" i="1"/>
  <c r="C160" i="1"/>
  <c r="A161" i="1"/>
  <c r="B161" i="1"/>
  <c r="C161" i="1"/>
  <c r="A162" i="1"/>
  <c r="B162" i="1"/>
  <c r="C162" i="1"/>
  <c r="A163" i="1"/>
  <c r="B163" i="1"/>
  <c r="C163" i="1"/>
  <c r="A164" i="1"/>
  <c r="B164" i="1"/>
  <c r="C164" i="1"/>
  <c r="A165" i="1"/>
  <c r="B165" i="1"/>
  <c r="C165" i="1"/>
  <c r="A166" i="1"/>
  <c r="B166" i="1"/>
  <c r="C166" i="1"/>
  <c r="A167" i="1"/>
  <c r="B167" i="1"/>
  <c r="C167" i="1"/>
  <c r="A168" i="1"/>
  <c r="B168" i="1"/>
  <c r="C168" i="1"/>
  <c r="A169" i="1"/>
  <c r="B169" i="1"/>
  <c r="C169" i="1"/>
  <c r="A170" i="1"/>
  <c r="B170" i="1"/>
  <c r="C170" i="1"/>
  <c r="A171" i="1"/>
  <c r="B171" i="1"/>
  <c r="C171" i="1"/>
  <c r="A172" i="1"/>
  <c r="B172" i="1"/>
  <c r="C172" i="1"/>
  <c r="A173" i="1"/>
  <c r="B173" i="1"/>
  <c r="C173" i="1"/>
  <c r="A174" i="1"/>
  <c r="B174" i="1"/>
  <c r="C174" i="1"/>
  <c r="A175" i="1"/>
  <c r="B175" i="1"/>
  <c r="C175" i="1"/>
  <c r="A176" i="1"/>
  <c r="B176" i="1"/>
  <c r="C176" i="1"/>
  <c r="A177" i="1"/>
  <c r="B177" i="1"/>
  <c r="C177" i="1"/>
  <c r="A178" i="1"/>
  <c r="B178" i="1"/>
  <c r="C178" i="1"/>
  <c r="A179" i="1"/>
  <c r="B179" i="1"/>
  <c r="C179" i="1"/>
  <c r="A180" i="1"/>
  <c r="B180" i="1"/>
  <c r="C180" i="1"/>
  <c r="A181" i="1"/>
  <c r="B181" i="1"/>
  <c r="C181" i="1"/>
  <c r="A182" i="1"/>
  <c r="B182" i="1"/>
  <c r="C182" i="1"/>
  <c r="A183" i="1"/>
  <c r="B183" i="1"/>
  <c r="C183" i="1"/>
  <c r="A184" i="1"/>
  <c r="B184" i="1"/>
  <c r="C184" i="1"/>
  <c r="A185" i="1"/>
  <c r="B185" i="1"/>
  <c r="C185" i="1"/>
  <c r="A186" i="1"/>
  <c r="B186" i="1"/>
  <c r="C186" i="1"/>
  <c r="A187" i="1"/>
  <c r="B187" i="1"/>
  <c r="C187" i="1"/>
  <c r="A188" i="1"/>
  <c r="B188" i="1"/>
  <c r="C188" i="1"/>
  <c r="A189" i="1"/>
  <c r="B189" i="1"/>
  <c r="C189" i="1"/>
  <c r="A190" i="1"/>
  <c r="B190" i="1"/>
  <c r="C190" i="1"/>
  <c r="A191" i="1"/>
  <c r="B191" i="1"/>
  <c r="C191" i="1"/>
  <c r="A192" i="1"/>
  <c r="B192" i="1"/>
  <c r="C192" i="1"/>
  <c r="A193" i="1"/>
  <c r="B193" i="1"/>
  <c r="C193" i="1"/>
  <c r="A194" i="1"/>
  <c r="B194" i="1"/>
  <c r="C19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#,##0.00\ &quot;€&quot;;\-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7" fontId="0" fillId="0" borderId="0" xfId="0" applyNumberFormat="1"/>
    <xf numFmtId="1" fontId="1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tabSelected="1" topLeftCell="A157" workbookViewId="0">
      <selection activeCell="D201" sqref="D201"/>
    </sheetView>
  </sheetViews>
  <sheetFormatPr defaultColWidth="11.42578125" defaultRowHeight="15" x14ac:dyDescent="0.25"/>
  <cols>
    <col min="2" max="2" width="62.42578125" bestFit="1" customWidth="1"/>
    <col min="5" max="5" width="11.42578125" style="4"/>
  </cols>
  <sheetData>
    <row r="1" spans="1:6" x14ac:dyDescent="0.25">
      <c r="A1" s="1" t="str">
        <f>"Artikelnummer"</f>
        <v>Artikelnummer</v>
      </c>
      <c r="B1" s="1" t="str">
        <f>"Matchcode"</f>
        <v>Matchcode</v>
      </c>
      <c r="C1" s="1" t="str">
        <f>"Hersteller"</f>
        <v>Hersteller</v>
      </c>
      <c r="D1" s="1" t="str">
        <f>"Einzelpreis"</f>
        <v>Einzelpreis</v>
      </c>
      <c r="E1" s="3" t="str">
        <f>"Bestand"</f>
        <v>Bestand</v>
      </c>
    </row>
    <row r="2" spans="1:6" x14ac:dyDescent="0.25">
      <c r="A2" t="str">
        <f t="shared" ref="A2:A14" si="0">"10003523"</f>
        <v>10003523</v>
      </c>
      <c r="B2" t="str">
        <f>"AV!Sicherheitssandalen S1""3000"" ZENIT GEOX® JALAS®"</f>
        <v>AV!Sicherheitssandalen S1"3000" ZENIT GEOX® JALAS®</v>
      </c>
      <c r="C2" t="str">
        <f t="shared" ref="C2:C33" si="1">"Jalas"</f>
        <v>Jalas</v>
      </c>
      <c r="D2" s="2"/>
      <c r="E2" s="4">
        <v>0</v>
      </c>
      <c r="F2" s="2"/>
    </row>
    <row r="3" spans="1:6" x14ac:dyDescent="0.25">
      <c r="A3" t="str">
        <f t="shared" si="0"/>
        <v>10003523</v>
      </c>
      <c r="B3" t="str">
        <f>"AV!Sicherheitssandalen S1""3000"" ZENIT GEOX® JALAS® (Größe: 36)"</f>
        <v>AV!Sicherheitssandalen S1"3000" ZENIT GEOX® JALAS® (Größe: 36)</v>
      </c>
      <c r="C3" t="str">
        <f t="shared" si="1"/>
        <v>Jalas</v>
      </c>
      <c r="D3" s="2"/>
      <c r="E3" s="4">
        <v>77</v>
      </c>
      <c r="F3" s="2"/>
    </row>
    <row r="4" spans="1:6" x14ac:dyDescent="0.25">
      <c r="A4" t="str">
        <f t="shared" si="0"/>
        <v>10003523</v>
      </c>
      <c r="B4" t="str">
        <f>"AV!Sicherheitssandalen S1""3000"" ZENIT GEOX® JALAS® (Größe: 37)"</f>
        <v>AV!Sicherheitssandalen S1"3000" ZENIT GEOX® JALAS® (Größe: 37)</v>
      </c>
      <c r="C4" t="str">
        <f t="shared" si="1"/>
        <v>Jalas</v>
      </c>
      <c r="D4" s="2"/>
      <c r="E4" s="4">
        <v>67</v>
      </c>
      <c r="F4" s="2"/>
    </row>
    <row r="5" spans="1:6" x14ac:dyDescent="0.25">
      <c r="A5" t="str">
        <f t="shared" si="0"/>
        <v>10003523</v>
      </c>
      <c r="B5" t="str">
        <f>"AV!Sicherheitssandalen S1""3000"" ZENIT GEOX® JALAS® (Größe: 38)"</f>
        <v>AV!Sicherheitssandalen S1"3000" ZENIT GEOX® JALAS® (Größe: 38)</v>
      </c>
      <c r="C5" t="str">
        <f t="shared" si="1"/>
        <v>Jalas</v>
      </c>
      <c r="D5" s="2"/>
      <c r="E5" s="4">
        <v>62</v>
      </c>
      <c r="F5" s="2"/>
    </row>
    <row r="6" spans="1:6" x14ac:dyDescent="0.25">
      <c r="A6" t="str">
        <f t="shared" si="0"/>
        <v>10003523</v>
      </c>
      <c r="B6" t="str">
        <f>"AV!Sicherheitssandalen S1""3000"" ZENIT GEOX® JALAS® (Größe: 39)"</f>
        <v>AV!Sicherheitssandalen S1"3000" ZENIT GEOX® JALAS® (Größe: 39)</v>
      </c>
      <c r="C6" t="str">
        <f t="shared" si="1"/>
        <v>Jalas</v>
      </c>
      <c r="D6" s="2"/>
      <c r="E6" s="4">
        <v>31</v>
      </c>
      <c r="F6" s="2"/>
    </row>
    <row r="7" spans="1:6" x14ac:dyDescent="0.25">
      <c r="A7" t="str">
        <f t="shared" si="0"/>
        <v>10003523</v>
      </c>
      <c r="B7" t="str">
        <f>"AV!Sicherheitssandalen S1""3000"" ZENIT GEOX® JALAS® (Größe: 40)"</f>
        <v>AV!Sicherheitssandalen S1"3000" ZENIT GEOX® JALAS® (Größe: 40)</v>
      </c>
      <c r="C7" t="str">
        <f t="shared" si="1"/>
        <v>Jalas</v>
      </c>
      <c r="D7" s="2"/>
      <c r="E7" s="4">
        <v>41</v>
      </c>
      <c r="F7" s="2"/>
    </row>
    <row r="8" spans="1:6" x14ac:dyDescent="0.25">
      <c r="A8" t="str">
        <f t="shared" si="0"/>
        <v>10003523</v>
      </c>
      <c r="B8" t="str">
        <f>"AV!Sicherheitssandalen S1""3000"" ZENIT GEOX® JALAS® (Größe: 41)"</f>
        <v>AV!Sicherheitssandalen S1"3000" ZENIT GEOX® JALAS® (Größe: 41)</v>
      </c>
      <c r="C8" t="str">
        <f t="shared" si="1"/>
        <v>Jalas</v>
      </c>
      <c r="D8" s="2"/>
      <c r="E8" s="4">
        <v>7</v>
      </c>
      <c r="F8" s="2"/>
    </row>
    <row r="9" spans="1:6" x14ac:dyDescent="0.25">
      <c r="A9" t="str">
        <f t="shared" si="0"/>
        <v>10003523</v>
      </c>
      <c r="B9" t="str">
        <f>"AV!Sicherheitssandalen S1""3000"" ZENIT GEOX® JALAS® (Größe: 42)"</f>
        <v>AV!Sicherheitssandalen S1"3000" ZENIT GEOX® JALAS® (Größe: 42)</v>
      </c>
      <c r="C9" t="str">
        <f t="shared" si="1"/>
        <v>Jalas</v>
      </c>
      <c r="D9" s="2"/>
      <c r="E9" s="4">
        <v>0</v>
      </c>
      <c r="F9" s="2"/>
    </row>
    <row r="10" spans="1:6" x14ac:dyDescent="0.25">
      <c r="A10" t="str">
        <f t="shared" si="0"/>
        <v>10003523</v>
      </c>
      <c r="B10" t="str">
        <f>"AV!Sicherheitssandalen S1""3000"" ZENIT GEOX® JALAS® (Größe: 43)"</f>
        <v>AV!Sicherheitssandalen S1"3000" ZENIT GEOX® JALAS® (Größe: 43)</v>
      </c>
      <c r="C10" t="str">
        <f t="shared" si="1"/>
        <v>Jalas</v>
      </c>
      <c r="D10" s="2"/>
      <c r="E10" s="4">
        <v>0</v>
      </c>
      <c r="F10" s="2"/>
    </row>
    <row r="11" spans="1:6" x14ac:dyDescent="0.25">
      <c r="A11" t="str">
        <f t="shared" si="0"/>
        <v>10003523</v>
      </c>
      <c r="B11" t="str">
        <f>"AV!Sicherheitssandalen S1""3000"" ZENIT GEOX® JALAS® (Größe: 44)"</f>
        <v>AV!Sicherheitssandalen S1"3000" ZENIT GEOX® JALAS® (Größe: 44)</v>
      </c>
      <c r="C11" t="str">
        <f t="shared" si="1"/>
        <v>Jalas</v>
      </c>
      <c r="D11" s="2"/>
      <c r="E11" s="4">
        <v>0</v>
      </c>
      <c r="F11" s="2"/>
    </row>
    <row r="12" spans="1:6" x14ac:dyDescent="0.25">
      <c r="A12" t="str">
        <f t="shared" si="0"/>
        <v>10003523</v>
      </c>
      <c r="B12" t="str">
        <f>"AV!Sicherheitssandalen S1""3000"" ZENIT GEOX® JALAS® (Größe: 45)"</f>
        <v>AV!Sicherheitssandalen S1"3000" ZENIT GEOX® JALAS® (Größe: 45)</v>
      </c>
      <c r="C12" t="str">
        <f t="shared" si="1"/>
        <v>Jalas</v>
      </c>
      <c r="D12" s="2"/>
      <c r="E12" s="4">
        <v>0</v>
      </c>
      <c r="F12" s="2"/>
    </row>
    <row r="13" spans="1:6" x14ac:dyDescent="0.25">
      <c r="A13" t="str">
        <f t="shared" si="0"/>
        <v>10003523</v>
      </c>
      <c r="B13" t="str">
        <f>"AV!Sicherheitssandalen S1""3000"" ZENIT GEOX® JALAS® (Größe: 46)"</f>
        <v>AV!Sicherheitssandalen S1"3000" ZENIT GEOX® JALAS® (Größe: 46)</v>
      </c>
      <c r="C13" t="str">
        <f t="shared" si="1"/>
        <v>Jalas</v>
      </c>
      <c r="D13" s="2"/>
      <c r="E13" s="4">
        <v>0</v>
      </c>
      <c r="F13" s="2"/>
    </row>
    <row r="14" spans="1:6" x14ac:dyDescent="0.25">
      <c r="A14" t="str">
        <f t="shared" si="0"/>
        <v>10003523</v>
      </c>
      <c r="B14" t="str">
        <f>"AV!Sicherheitssandalen S1""3000"" ZENIT GEOX® JALAS® (Größe: 47)"</f>
        <v>AV!Sicherheitssandalen S1"3000" ZENIT GEOX® JALAS® (Größe: 47)</v>
      </c>
      <c r="C14" t="str">
        <f t="shared" si="1"/>
        <v>Jalas</v>
      </c>
      <c r="D14" s="2"/>
      <c r="E14" s="4">
        <v>19</v>
      </c>
      <c r="F14" s="2"/>
    </row>
    <row r="15" spans="1:6" x14ac:dyDescent="0.25">
      <c r="A15" t="str">
        <f t="shared" ref="A15:A27" si="2">"10003525"</f>
        <v>10003525</v>
      </c>
      <c r="B15" t="str">
        <f>"AV!Sicherheitshalbschuhe S2 ""3010"" ZENIT - JALAS®"</f>
        <v>AV!Sicherheitshalbschuhe S2 "3010" ZENIT - JALAS®</v>
      </c>
      <c r="C15" t="str">
        <f t="shared" si="1"/>
        <v>Jalas</v>
      </c>
      <c r="D15" s="2"/>
      <c r="E15" s="4">
        <v>0</v>
      </c>
      <c r="F15" s="2"/>
    </row>
    <row r="16" spans="1:6" x14ac:dyDescent="0.25">
      <c r="A16" t="str">
        <f t="shared" si="2"/>
        <v>10003525</v>
      </c>
      <c r="B16" t="str">
        <f>"AV!Sicherheitshalbschuhe S2 ""3010"" ZENIT - JALAS® (Größe: 36)"</f>
        <v>AV!Sicherheitshalbschuhe S2 "3010" ZENIT - JALAS® (Größe: 36)</v>
      </c>
      <c r="C16" t="str">
        <f t="shared" si="1"/>
        <v>Jalas</v>
      </c>
      <c r="D16" s="2"/>
      <c r="E16" s="4">
        <v>90</v>
      </c>
      <c r="F16" s="2"/>
    </row>
    <row r="17" spans="1:6" x14ac:dyDescent="0.25">
      <c r="A17" t="str">
        <f t="shared" si="2"/>
        <v>10003525</v>
      </c>
      <c r="B17" t="str">
        <f>"AV!Sicherheitshalbschuhe S2 ""3010"" ZENIT - JALAS® (Größe: 37)"</f>
        <v>AV!Sicherheitshalbschuhe S2 "3010" ZENIT - JALAS® (Größe: 37)</v>
      </c>
      <c r="C17" t="str">
        <f t="shared" si="1"/>
        <v>Jalas</v>
      </c>
      <c r="D17" s="2"/>
      <c r="E17" s="4">
        <v>155</v>
      </c>
      <c r="F17" s="2"/>
    </row>
    <row r="18" spans="1:6" x14ac:dyDescent="0.25">
      <c r="A18" t="str">
        <f t="shared" si="2"/>
        <v>10003525</v>
      </c>
      <c r="B18" t="str">
        <f>"AV!Sicherheitshalbschuhe S2 ""3010"" ZENIT - JALAS® (Größe: 38)"</f>
        <v>AV!Sicherheitshalbschuhe S2 "3010" ZENIT - JALAS® (Größe: 38)</v>
      </c>
      <c r="C18" t="str">
        <f t="shared" si="1"/>
        <v>Jalas</v>
      </c>
      <c r="D18" s="2"/>
      <c r="E18" s="4">
        <v>105</v>
      </c>
      <c r="F18" s="2"/>
    </row>
    <row r="19" spans="1:6" x14ac:dyDescent="0.25">
      <c r="A19" t="str">
        <f t="shared" si="2"/>
        <v>10003525</v>
      </c>
      <c r="B19" t="str">
        <f>"AV!Sicherheitshalbschuhe S2 ""3010"" ZENIT - JALAS® (Größe: 39)"</f>
        <v>AV!Sicherheitshalbschuhe S2 "3010" ZENIT - JALAS® (Größe: 39)</v>
      </c>
      <c r="C19" t="str">
        <f t="shared" si="1"/>
        <v>Jalas</v>
      </c>
      <c r="D19" s="2"/>
      <c r="E19" s="4">
        <v>105</v>
      </c>
      <c r="F19" s="2"/>
    </row>
    <row r="20" spans="1:6" x14ac:dyDescent="0.25">
      <c r="A20" t="str">
        <f t="shared" si="2"/>
        <v>10003525</v>
      </c>
      <c r="B20" t="str">
        <f>"AV!Sicherheitshalbschuhe S2 ""3010"" ZENIT - JALAS® (Größe: 40)"</f>
        <v>AV!Sicherheitshalbschuhe S2 "3010" ZENIT - JALAS® (Größe: 40)</v>
      </c>
      <c r="C20" t="str">
        <f t="shared" si="1"/>
        <v>Jalas</v>
      </c>
      <c r="D20" s="2"/>
      <c r="E20" s="4">
        <v>0</v>
      </c>
      <c r="F20" s="2"/>
    </row>
    <row r="21" spans="1:6" x14ac:dyDescent="0.25">
      <c r="A21" t="str">
        <f t="shared" si="2"/>
        <v>10003525</v>
      </c>
      <c r="B21" t="str">
        <f>"AV!Sicherheitshalbschuhe S2 ""3010"" ZENIT - JALAS® (Größe: 41)"</f>
        <v>AV!Sicherheitshalbschuhe S2 "3010" ZENIT - JALAS® (Größe: 41)</v>
      </c>
      <c r="C21" t="str">
        <f t="shared" si="1"/>
        <v>Jalas</v>
      </c>
      <c r="D21" s="2"/>
      <c r="E21" s="4">
        <v>0</v>
      </c>
      <c r="F21" s="2"/>
    </row>
    <row r="22" spans="1:6" x14ac:dyDescent="0.25">
      <c r="A22" t="str">
        <f t="shared" si="2"/>
        <v>10003525</v>
      </c>
      <c r="B22" t="str">
        <f>"AV!Sicherheitshalbschuhe S2 ""3010"" ZENIT - JALAS® (Größe: 42)"</f>
        <v>AV!Sicherheitshalbschuhe S2 "3010" ZENIT - JALAS® (Größe: 42)</v>
      </c>
      <c r="C22" t="str">
        <f t="shared" si="1"/>
        <v>Jalas</v>
      </c>
      <c r="D22" s="2"/>
      <c r="E22" s="4">
        <v>0</v>
      </c>
      <c r="F22" s="2"/>
    </row>
    <row r="23" spans="1:6" x14ac:dyDescent="0.25">
      <c r="A23" t="str">
        <f t="shared" si="2"/>
        <v>10003525</v>
      </c>
      <c r="B23" t="str">
        <f>"AV!Sicherheitshalbschuhe S2 ""3010"" ZENIT - JALAS® (Größe: 43)"</f>
        <v>AV!Sicherheitshalbschuhe S2 "3010" ZENIT - JALAS® (Größe: 43)</v>
      </c>
      <c r="C23" t="str">
        <f t="shared" si="1"/>
        <v>Jalas</v>
      </c>
      <c r="D23" s="2"/>
      <c r="E23" s="4">
        <v>0</v>
      </c>
      <c r="F23" s="2"/>
    </row>
    <row r="24" spans="1:6" x14ac:dyDescent="0.25">
      <c r="A24" t="str">
        <f t="shared" si="2"/>
        <v>10003525</v>
      </c>
      <c r="B24" t="str">
        <f>"AV!Sicherheitshalbschuhe S2 ""3010"" ZENIT - JALAS® (Größe: 44)"</f>
        <v>AV!Sicherheitshalbschuhe S2 "3010" ZENIT - JALAS® (Größe: 44)</v>
      </c>
      <c r="C24" t="str">
        <f t="shared" si="1"/>
        <v>Jalas</v>
      </c>
      <c r="D24" s="2"/>
      <c r="E24" s="4">
        <v>233</v>
      </c>
      <c r="F24" s="2"/>
    </row>
    <row r="25" spans="1:6" x14ac:dyDescent="0.25">
      <c r="A25" t="str">
        <f t="shared" si="2"/>
        <v>10003525</v>
      </c>
      <c r="B25" t="str">
        <f>"AV!Sicherheitshalbschuhe S2 ""3010"" ZENIT - JALAS® (Größe: 45)"</f>
        <v>AV!Sicherheitshalbschuhe S2 "3010" ZENIT - JALAS® (Größe: 45)</v>
      </c>
      <c r="C25" t="str">
        <f t="shared" si="1"/>
        <v>Jalas</v>
      </c>
      <c r="D25" s="2"/>
      <c r="E25" s="4">
        <v>0</v>
      </c>
      <c r="F25" s="2"/>
    </row>
    <row r="26" spans="1:6" x14ac:dyDescent="0.25">
      <c r="A26" t="str">
        <f t="shared" si="2"/>
        <v>10003525</v>
      </c>
      <c r="B26" t="str">
        <f>"AV!Sicherheitshalbschuhe S2 ""3010"" ZENIT - JALAS® (Größe: 46)"</f>
        <v>AV!Sicherheitshalbschuhe S2 "3010" ZENIT - JALAS® (Größe: 46)</v>
      </c>
      <c r="C26" t="str">
        <f t="shared" si="1"/>
        <v>Jalas</v>
      </c>
      <c r="D26" s="2"/>
      <c r="E26" s="4">
        <v>0</v>
      </c>
      <c r="F26" s="2"/>
    </row>
    <row r="27" spans="1:6" x14ac:dyDescent="0.25">
      <c r="A27" t="str">
        <f t="shared" si="2"/>
        <v>10003525</v>
      </c>
      <c r="B27" t="str">
        <f>"AV!Sicherheitshalbschuhe S2 ""3010"" ZENIT - JALAS® (Größe: 47)"</f>
        <v>AV!Sicherheitshalbschuhe S2 "3010" ZENIT - JALAS® (Größe: 47)</v>
      </c>
      <c r="C27" t="str">
        <f t="shared" si="1"/>
        <v>Jalas</v>
      </c>
      <c r="D27" s="2"/>
      <c r="E27" s="4">
        <v>6</v>
      </c>
      <c r="F27" s="2"/>
    </row>
    <row r="28" spans="1:6" x14ac:dyDescent="0.25">
      <c r="A28" t="str">
        <f t="shared" ref="A28:A40" si="3">"10003539"</f>
        <v>10003539</v>
      </c>
      <c r="B28" t="str">
        <f>"AV! Sicherheitshochschuhe S2 ""3160"" - JALAS®"</f>
        <v>AV! Sicherheitshochschuhe S2 "3160" - JALAS®</v>
      </c>
      <c r="C28" t="str">
        <f t="shared" si="1"/>
        <v>Jalas</v>
      </c>
      <c r="D28" s="2"/>
      <c r="E28" s="4">
        <v>0</v>
      </c>
      <c r="F28" s="2"/>
    </row>
    <row r="29" spans="1:6" x14ac:dyDescent="0.25">
      <c r="A29" t="str">
        <f t="shared" si="3"/>
        <v>10003539</v>
      </c>
      <c r="B29" t="str">
        <f>"AV! Sicherheitshochschuhe S2 ""3160"" - JALAS® (Größe: 36)"</f>
        <v>AV! Sicherheitshochschuhe S2 "3160" - JALAS® (Größe: 36)</v>
      </c>
      <c r="C29" t="str">
        <f t="shared" si="1"/>
        <v>Jalas</v>
      </c>
      <c r="D29" s="2"/>
      <c r="E29" s="4">
        <v>30</v>
      </c>
      <c r="F29" s="2"/>
    </row>
    <row r="30" spans="1:6" x14ac:dyDescent="0.25">
      <c r="A30" t="str">
        <f t="shared" si="3"/>
        <v>10003539</v>
      </c>
      <c r="B30" t="str">
        <f>"AV! Sicherheitshochschuhe S2 ""3160"" - JALAS® (Größe: 37)"</f>
        <v>AV! Sicherheitshochschuhe S2 "3160" - JALAS® (Größe: 37)</v>
      </c>
      <c r="C30" t="str">
        <f t="shared" si="1"/>
        <v>Jalas</v>
      </c>
      <c r="D30" s="2"/>
      <c r="E30" s="4">
        <v>9</v>
      </c>
      <c r="F30" s="2"/>
    </row>
    <row r="31" spans="1:6" x14ac:dyDescent="0.25">
      <c r="A31" t="str">
        <f t="shared" si="3"/>
        <v>10003539</v>
      </c>
      <c r="B31" t="str">
        <f>"AV! Sicherheitshochschuhe S2 ""3160"" - JALAS® (Größe: 38)"</f>
        <v>AV! Sicherheitshochschuhe S2 "3160" - JALAS® (Größe: 38)</v>
      </c>
      <c r="C31" t="str">
        <f t="shared" si="1"/>
        <v>Jalas</v>
      </c>
      <c r="D31" s="2"/>
      <c r="E31" s="4">
        <v>36</v>
      </c>
      <c r="F31" s="2"/>
    </row>
    <row r="32" spans="1:6" x14ac:dyDescent="0.25">
      <c r="A32" t="str">
        <f t="shared" si="3"/>
        <v>10003539</v>
      </c>
      <c r="B32" t="str">
        <f>"AV! Sicherheitshochschuhe S2 ""3160"" - JALAS® (Größe: 39)"</f>
        <v>AV! Sicherheitshochschuhe S2 "3160" - JALAS® (Größe: 39)</v>
      </c>
      <c r="C32" t="str">
        <f t="shared" si="1"/>
        <v>Jalas</v>
      </c>
      <c r="D32" s="2"/>
      <c r="E32" s="4">
        <v>27</v>
      </c>
      <c r="F32" s="2"/>
    </row>
    <row r="33" spans="1:6" x14ac:dyDescent="0.25">
      <c r="A33" t="str">
        <f t="shared" si="3"/>
        <v>10003539</v>
      </c>
      <c r="B33" t="str">
        <f>"AV! Sicherheitshochschuhe S2 ""3160"" - JALAS® (Größe: 40)"</f>
        <v>AV! Sicherheitshochschuhe S2 "3160" - JALAS® (Größe: 40)</v>
      </c>
      <c r="C33" t="str">
        <f t="shared" si="1"/>
        <v>Jalas</v>
      </c>
      <c r="D33" s="2"/>
      <c r="E33" s="4">
        <v>57</v>
      </c>
      <c r="F33" s="2"/>
    </row>
    <row r="34" spans="1:6" x14ac:dyDescent="0.25">
      <c r="A34" t="str">
        <f t="shared" si="3"/>
        <v>10003539</v>
      </c>
      <c r="B34" t="str">
        <f>"AV! Sicherheitshochschuhe S2 ""3160"" - JALAS® (Größe: 41)"</f>
        <v>AV! Sicherheitshochschuhe S2 "3160" - JALAS® (Größe: 41)</v>
      </c>
      <c r="C34" t="str">
        <f t="shared" ref="C34:C65" si="4">"Jalas"</f>
        <v>Jalas</v>
      </c>
      <c r="D34" s="2"/>
      <c r="E34" s="4">
        <v>34</v>
      </c>
      <c r="F34" s="2"/>
    </row>
    <row r="35" spans="1:6" x14ac:dyDescent="0.25">
      <c r="A35" t="str">
        <f t="shared" si="3"/>
        <v>10003539</v>
      </c>
      <c r="B35" t="str">
        <f>"AV! Sicherheitshochschuhe S2 ""3160"" - JALAS® (Größe: 42)"</f>
        <v>AV! Sicherheitshochschuhe S2 "3160" - JALAS® (Größe: 42)</v>
      </c>
      <c r="C35" t="str">
        <f t="shared" si="4"/>
        <v>Jalas</v>
      </c>
      <c r="D35" s="2"/>
      <c r="E35" s="4">
        <v>10</v>
      </c>
      <c r="F35" s="2"/>
    </row>
    <row r="36" spans="1:6" x14ac:dyDescent="0.25">
      <c r="A36" t="str">
        <f t="shared" si="3"/>
        <v>10003539</v>
      </c>
      <c r="B36" t="str">
        <f>"AV! Sicherheitshochschuhe S2 ""3160"" - JALAS® (Größe: 43)"</f>
        <v>AV! Sicherheitshochschuhe S2 "3160" - JALAS® (Größe: 43)</v>
      </c>
      <c r="C36" t="str">
        <f t="shared" si="4"/>
        <v>Jalas</v>
      </c>
      <c r="D36" s="2"/>
      <c r="E36" s="4">
        <v>0</v>
      </c>
      <c r="F36" s="2"/>
    </row>
    <row r="37" spans="1:6" x14ac:dyDescent="0.25">
      <c r="A37" t="str">
        <f t="shared" si="3"/>
        <v>10003539</v>
      </c>
      <c r="B37" t="str">
        <f>"AV! Sicherheitshochschuhe S2 ""3160"" - JALAS® (Größe: 44)"</f>
        <v>AV! Sicherheitshochschuhe S2 "3160" - JALAS® (Größe: 44)</v>
      </c>
      <c r="C37" t="str">
        <f t="shared" si="4"/>
        <v>Jalas</v>
      </c>
      <c r="D37" s="2"/>
      <c r="E37" s="4">
        <v>0</v>
      </c>
      <c r="F37" s="2"/>
    </row>
    <row r="38" spans="1:6" x14ac:dyDescent="0.25">
      <c r="A38" t="str">
        <f t="shared" si="3"/>
        <v>10003539</v>
      </c>
      <c r="B38" t="str">
        <f>"AV! Sicherheitshochschuhe S2 ""3160"" - JALAS® (Größe: 45)"</f>
        <v>AV! Sicherheitshochschuhe S2 "3160" - JALAS® (Größe: 45)</v>
      </c>
      <c r="C38" t="str">
        <f t="shared" si="4"/>
        <v>Jalas</v>
      </c>
      <c r="D38" s="2"/>
      <c r="E38" s="4">
        <v>37</v>
      </c>
      <c r="F38" s="2"/>
    </row>
    <row r="39" spans="1:6" x14ac:dyDescent="0.25">
      <c r="A39" t="str">
        <f t="shared" si="3"/>
        <v>10003539</v>
      </c>
      <c r="B39" t="str">
        <f>"AV! Sicherheitshochschuhe S2 ""3160"" - JALAS® (Größe: 46)"</f>
        <v>AV! Sicherheitshochschuhe S2 "3160" - JALAS® (Größe: 46)</v>
      </c>
      <c r="C39" t="str">
        <f t="shared" si="4"/>
        <v>Jalas</v>
      </c>
      <c r="D39" s="2"/>
      <c r="E39" s="4">
        <v>16</v>
      </c>
      <c r="F39" s="2"/>
    </row>
    <row r="40" spans="1:6" x14ac:dyDescent="0.25">
      <c r="A40" t="str">
        <f t="shared" si="3"/>
        <v>10003539</v>
      </c>
      <c r="B40" t="str">
        <f>"AV! Sicherheitshochschuhe S2 ""3160"" - JALAS® (Größe: 47)"</f>
        <v>AV! Sicherheitshochschuhe S2 "3160" - JALAS® (Größe: 47)</v>
      </c>
      <c r="C40" t="str">
        <f t="shared" si="4"/>
        <v>Jalas</v>
      </c>
      <c r="D40" s="2"/>
      <c r="E40" s="4">
        <v>24</v>
      </c>
      <c r="F40" s="2"/>
    </row>
    <row r="41" spans="1:6" x14ac:dyDescent="0.25">
      <c r="A41" t="str">
        <f t="shared" ref="A41:A53" si="5">"10003541"</f>
        <v>10003541</v>
      </c>
      <c r="B41" t="str">
        <f>"AV! Sicherheitshalbschuhe S1 ""3180"" - JALAS®"</f>
        <v>AV! Sicherheitshalbschuhe S1 "3180" - JALAS®</v>
      </c>
      <c r="C41" t="str">
        <f t="shared" si="4"/>
        <v>Jalas</v>
      </c>
      <c r="D41" s="2"/>
      <c r="E41" s="4">
        <v>0</v>
      </c>
      <c r="F41" s="2"/>
    </row>
    <row r="42" spans="1:6" x14ac:dyDescent="0.25">
      <c r="A42" t="str">
        <f t="shared" si="5"/>
        <v>10003541</v>
      </c>
      <c r="B42" t="str">
        <f>"AV! Sicherheitshalbschuhe S1 ""3180"" - JALAS® (Größe: 36)"</f>
        <v>AV! Sicherheitshalbschuhe S1 "3180" - JALAS® (Größe: 36)</v>
      </c>
      <c r="C42" t="str">
        <f t="shared" si="4"/>
        <v>Jalas</v>
      </c>
      <c r="D42" s="2"/>
      <c r="E42" s="4">
        <v>31</v>
      </c>
      <c r="F42" s="2"/>
    </row>
    <row r="43" spans="1:6" x14ac:dyDescent="0.25">
      <c r="A43" t="str">
        <f t="shared" si="5"/>
        <v>10003541</v>
      </c>
      <c r="B43" t="str">
        <f>"AV! Sicherheitshalbschuhe S1 ""3180"" - JALAS® (Größe: 37)"</f>
        <v>AV! Sicherheitshalbschuhe S1 "3180" - JALAS® (Größe: 37)</v>
      </c>
      <c r="C43" t="str">
        <f t="shared" si="4"/>
        <v>Jalas</v>
      </c>
      <c r="D43" s="2"/>
      <c r="E43" s="4">
        <v>4</v>
      </c>
      <c r="F43" s="2"/>
    </row>
    <row r="44" spans="1:6" x14ac:dyDescent="0.25">
      <c r="A44" t="str">
        <f t="shared" si="5"/>
        <v>10003541</v>
      </c>
      <c r="B44" t="str">
        <f>"AV! Sicherheitshalbschuhe S1 ""3180"" - JALAS® (Größe: 38)"</f>
        <v>AV! Sicherheitshalbschuhe S1 "3180" - JALAS® (Größe: 38)</v>
      </c>
      <c r="C44" t="str">
        <f t="shared" si="4"/>
        <v>Jalas</v>
      </c>
      <c r="D44" s="2"/>
      <c r="E44" s="4">
        <v>20</v>
      </c>
      <c r="F44" s="2"/>
    </row>
    <row r="45" spans="1:6" x14ac:dyDescent="0.25">
      <c r="A45" t="str">
        <f t="shared" si="5"/>
        <v>10003541</v>
      </c>
      <c r="B45" t="str">
        <f>"AV! Sicherheitshalbschuhe S1 ""3180"" - JALAS® (Größe: 39)"</f>
        <v>AV! Sicherheitshalbschuhe S1 "3180" - JALAS® (Größe: 39)</v>
      </c>
      <c r="C45" t="str">
        <f t="shared" si="4"/>
        <v>Jalas</v>
      </c>
      <c r="D45" s="2"/>
      <c r="E45" s="4">
        <v>16</v>
      </c>
      <c r="F45" s="2"/>
    </row>
    <row r="46" spans="1:6" x14ac:dyDescent="0.25">
      <c r="A46" t="str">
        <f t="shared" si="5"/>
        <v>10003541</v>
      </c>
      <c r="B46" t="str">
        <f>"AV! Sicherheitshalbschuhe S1 ""3180"" - JALAS® (Größe: 40)"</f>
        <v>AV! Sicherheitshalbschuhe S1 "3180" - JALAS® (Größe: 40)</v>
      </c>
      <c r="C46" t="str">
        <f t="shared" si="4"/>
        <v>Jalas</v>
      </c>
      <c r="D46" s="2"/>
      <c r="E46" s="4">
        <v>0</v>
      </c>
      <c r="F46" s="2"/>
    </row>
    <row r="47" spans="1:6" x14ac:dyDescent="0.25">
      <c r="A47" t="str">
        <f t="shared" si="5"/>
        <v>10003541</v>
      </c>
      <c r="B47" t="str">
        <f>"AV! Sicherheitshalbschuhe S1 ""3180"" - JALAS® (Größe: 41)"</f>
        <v>AV! Sicherheitshalbschuhe S1 "3180" - JALAS® (Größe: 41)</v>
      </c>
      <c r="C47" t="str">
        <f t="shared" si="4"/>
        <v>Jalas</v>
      </c>
      <c r="D47" s="2"/>
      <c r="E47" s="4">
        <v>17</v>
      </c>
      <c r="F47" s="2"/>
    </row>
    <row r="48" spans="1:6" x14ac:dyDescent="0.25">
      <c r="A48" t="str">
        <f t="shared" si="5"/>
        <v>10003541</v>
      </c>
      <c r="B48" t="str">
        <f>"AV! Sicherheitshalbschuhe S1 ""3180"" - JALAS® (Größe: 42)"</f>
        <v>AV! Sicherheitshalbschuhe S1 "3180" - JALAS® (Größe: 42)</v>
      </c>
      <c r="C48" t="str">
        <f t="shared" si="4"/>
        <v>Jalas</v>
      </c>
      <c r="D48" s="2"/>
      <c r="E48" s="4">
        <v>0</v>
      </c>
      <c r="F48" s="2"/>
    </row>
    <row r="49" spans="1:6" x14ac:dyDescent="0.25">
      <c r="A49" t="str">
        <f t="shared" si="5"/>
        <v>10003541</v>
      </c>
      <c r="B49" t="str">
        <f>"AV! Sicherheitshalbschuhe S1 ""3180"" - JALAS® (Größe: 43)"</f>
        <v>AV! Sicherheitshalbschuhe S1 "3180" - JALAS® (Größe: 43)</v>
      </c>
      <c r="C49" t="str">
        <f t="shared" si="4"/>
        <v>Jalas</v>
      </c>
      <c r="D49" s="2"/>
      <c r="E49" s="4">
        <v>0</v>
      </c>
      <c r="F49" s="2"/>
    </row>
    <row r="50" spans="1:6" x14ac:dyDescent="0.25">
      <c r="A50" t="str">
        <f t="shared" si="5"/>
        <v>10003541</v>
      </c>
      <c r="B50" t="str">
        <f>"AV! Sicherheitshalbschuhe S1 ""3180"" - JALAS® (Größe: 44)"</f>
        <v>AV! Sicherheitshalbschuhe S1 "3180" - JALAS® (Größe: 44)</v>
      </c>
      <c r="C50" t="str">
        <f t="shared" si="4"/>
        <v>Jalas</v>
      </c>
      <c r="D50" s="2"/>
      <c r="E50" s="4">
        <v>0</v>
      </c>
      <c r="F50" s="2"/>
    </row>
    <row r="51" spans="1:6" x14ac:dyDescent="0.25">
      <c r="A51" t="str">
        <f t="shared" si="5"/>
        <v>10003541</v>
      </c>
      <c r="B51" t="str">
        <f>"AV! Sicherheitshalbschuhe S1 ""3180"" - JALAS® (Größe: 45)"</f>
        <v>AV! Sicherheitshalbschuhe S1 "3180" - JALAS® (Größe: 45)</v>
      </c>
      <c r="C51" t="str">
        <f t="shared" si="4"/>
        <v>Jalas</v>
      </c>
      <c r="D51" s="2"/>
      <c r="E51" s="4">
        <v>0</v>
      </c>
      <c r="F51" s="2"/>
    </row>
    <row r="52" spans="1:6" x14ac:dyDescent="0.25">
      <c r="A52" t="str">
        <f t="shared" si="5"/>
        <v>10003541</v>
      </c>
      <c r="B52" t="str">
        <f>"AV! Sicherheitshalbschuhe S1 ""3180"" - JALAS® (Größe: 46)"</f>
        <v>AV! Sicherheitshalbschuhe S1 "3180" - JALAS® (Größe: 46)</v>
      </c>
      <c r="C52" t="str">
        <f t="shared" si="4"/>
        <v>Jalas</v>
      </c>
      <c r="D52" s="2"/>
      <c r="E52" s="4">
        <v>0</v>
      </c>
      <c r="F52" s="2"/>
    </row>
    <row r="53" spans="1:6" x14ac:dyDescent="0.25">
      <c r="A53" t="str">
        <f t="shared" si="5"/>
        <v>10003541</v>
      </c>
      <c r="B53" t="str">
        <f>"AV! Sicherheitshalbschuhe S1 ""3180"" - JALAS® (Größe: 47)"</f>
        <v>AV! Sicherheitshalbschuhe S1 "3180" - JALAS® (Größe: 47)</v>
      </c>
      <c r="C53" t="str">
        <f t="shared" si="4"/>
        <v>Jalas</v>
      </c>
      <c r="D53" s="2"/>
      <c r="E53" s="4">
        <v>0</v>
      </c>
      <c r="F53" s="2"/>
    </row>
    <row r="54" spans="1:6" x14ac:dyDescent="0.25">
      <c r="A54" t="str">
        <f t="shared" ref="A54:A66" si="6">"10003566"</f>
        <v>10003566</v>
      </c>
      <c r="B54" t="str">
        <f>"AV! Sicherheitssandalen S1 ""3510"" MONZA WHITE JALA"</f>
        <v>AV! Sicherheitssandalen S1 "3510" MONZA WHITE JALA</v>
      </c>
      <c r="C54" t="str">
        <f t="shared" si="4"/>
        <v>Jalas</v>
      </c>
      <c r="D54" s="2"/>
      <c r="E54" s="4">
        <v>0</v>
      </c>
      <c r="F54" s="2"/>
    </row>
    <row r="55" spans="1:6" x14ac:dyDescent="0.25">
      <c r="A55" t="str">
        <f t="shared" si="6"/>
        <v>10003566</v>
      </c>
      <c r="B55" t="str">
        <f>"AV! Sicherheitssandalen S1 ""3510"" MONZA WHITE JALA (Größe: 36)"</f>
        <v>AV! Sicherheitssandalen S1 "3510" MONZA WHITE JALA (Größe: 36)</v>
      </c>
      <c r="C55" t="str">
        <f t="shared" si="4"/>
        <v>Jalas</v>
      </c>
      <c r="D55" s="2"/>
      <c r="E55" s="4">
        <v>17</v>
      </c>
      <c r="F55" s="2"/>
    </row>
    <row r="56" spans="1:6" x14ac:dyDescent="0.25">
      <c r="A56" t="str">
        <f t="shared" si="6"/>
        <v>10003566</v>
      </c>
      <c r="B56" t="str">
        <f>"AV! Sicherheitssandalen S1 ""3510"" MONZA WHITE JALA (Größe: 37)"</f>
        <v>AV! Sicherheitssandalen S1 "3510" MONZA WHITE JALA (Größe: 37)</v>
      </c>
      <c r="C56" t="str">
        <f t="shared" si="4"/>
        <v>Jalas</v>
      </c>
      <c r="D56" s="2"/>
      <c r="E56" s="4">
        <v>0</v>
      </c>
      <c r="F56" s="2"/>
    </row>
    <row r="57" spans="1:6" x14ac:dyDescent="0.25">
      <c r="A57" t="str">
        <f t="shared" si="6"/>
        <v>10003566</v>
      </c>
      <c r="B57" t="str">
        <f>"AV! Sicherheitssandalen S1 ""3510"" MONZA WHITE JALA (Größe: 38)"</f>
        <v>AV! Sicherheitssandalen S1 "3510" MONZA WHITE JALA (Größe: 38)</v>
      </c>
      <c r="C57" t="str">
        <f t="shared" si="4"/>
        <v>Jalas</v>
      </c>
      <c r="D57" s="2"/>
      <c r="E57" s="4">
        <v>0</v>
      </c>
      <c r="F57" s="2"/>
    </row>
    <row r="58" spans="1:6" x14ac:dyDescent="0.25">
      <c r="A58" t="str">
        <f t="shared" si="6"/>
        <v>10003566</v>
      </c>
      <c r="B58" t="str">
        <f>"AV! Sicherheitssandalen S1 ""3510"" MONZA WHITE JALA (Größe: 39)"</f>
        <v>AV! Sicherheitssandalen S1 "3510" MONZA WHITE JALA (Größe: 39)</v>
      </c>
      <c r="C58" t="str">
        <f t="shared" si="4"/>
        <v>Jalas</v>
      </c>
      <c r="D58" s="2"/>
      <c r="E58" s="4">
        <v>0</v>
      </c>
      <c r="F58" s="2"/>
    </row>
    <row r="59" spans="1:6" x14ac:dyDescent="0.25">
      <c r="A59" t="str">
        <f t="shared" si="6"/>
        <v>10003566</v>
      </c>
      <c r="B59" t="str">
        <f>"AV! Sicherheitssandalen S1 ""3510"" MONZA WHITE JALA (Größe: 40)"</f>
        <v>AV! Sicherheitssandalen S1 "3510" MONZA WHITE JALA (Größe: 40)</v>
      </c>
      <c r="C59" t="str">
        <f t="shared" si="4"/>
        <v>Jalas</v>
      </c>
      <c r="D59" s="2"/>
      <c r="E59" s="4">
        <v>0</v>
      </c>
      <c r="F59" s="2"/>
    </row>
    <row r="60" spans="1:6" x14ac:dyDescent="0.25">
      <c r="A60" t="str">
        <f t="shared" si="6"/>
        <v>10003566</v>
      </c>
      <c r="B60" t="str">
        <f>"AV! Sicherheitssandalen S1 ""3510"" MONZA WHITE JALA (Größe: 41)"</f>
        <v>AV! Sicherheitssandalen S1 "3510" MONZA WHITE JALA (Größe: 41)</v>
      </c>
      <c r="C60" t="str">
        <f t="shared" si="4"/>
        <v>Jalas</v>
      </c>
      <c r="D60" s="2"/>
      <c r="E60" s="4">
        <v>8</v>
      </c>
      <c r="F60" s="2"/>
    </row>
    <row r="61" spans="1:6" x14ac:dyDescent="0.25">
      <c r="A61" t="str">
        <f t="shared" si="6"/>
        <v>10003566</v>
      </c>
      <c r="B61" t="str">
        <f>"AV! Sicherheitssandalen S1 ""3510"" MONZA WHITE JALA (Größe: 42)"</f>
        <v>AV! Sicherheitssandalen S1 "3510" MONZA WHITE JALA (Größe: 42)</v>
      </c>
      <c r="C61" t="str">
        <f t="shared" si="4"/>
        <v>Jalas</v>
      </c>
      <c r="D61" s="2"/>
      <c r="E61" s="4">
        <v>0</v>
      </c>
      <c r="F61" s="2"/>
    </row>
    <row r="62" spans="1:6" x14ac:dyDescent="0.25">
      <c r="A62" t="str">
        <f t="shared" si="6"/>
        <v>10003566</v>
      </c>
      <c r="B62" t="str">
        <f>"AV! Sicherheitssandalen S1 ""3510"" MONZA WHITE JALA (Größe: 43)"</f>
        <v>AV! Sicherheitssandalen S1 "3510" MONZA WHITE JALA (Größe: 43)</v>
      </c>
      <c r="C62" t="str">
        <f t="shared" si="4"/>
        <v>Jalas</v>
      </c>
      <c r="D62" s="2"/>
      <c r="E62" s="4">
        <v>0</v>
      </c>
      <c r="F62" s="2"/>
    </row>
    <row r="63" spans="1:6" x14ac:dyDescent="0.25">
      <c r="A63" t="str">
        <f t="shared" si="6"/>
        <v>10003566</v>
      </c>
      <c r="B63" t="str">
        <f>"AV! Sicherheitssandalen S1 ""3510"" MONZA WHITE JALA (Größe: 44)"</f>
        <v>AV! Sicherheitssandalen S1 "3510" MONZA WHITE JALA (Größe: 44)</v>
      </c>
      <c r="C63" t="str">
        <f t="shared" si="4"/>
        <v>Jalas</v>
      </c>
      <c r="D63" s="2"/>
      <c r="E63" s="4">
        <v>0</v>
      </c>
      <c r="F63" s="2"/>
    </row>
    <row r="64" spans="1:6" x14ac:dyDescent="0.25">
      <c r="A64" t="str">
        <f t="shared" si="6"/>
        <v>10003566</v>
      </c>
      <c r="B64" t="str">
        <f>"AV! Sicherheitssandalen S1 ""3510"" MONZA WHITE JALA (Größe: 45)"</f>
        <v>AV! Sicherheitssandalen S1 "3510" MONZA WHITE JALA (Größe: 45)</v>
      </c>
      <c r="C64" t="str">
        <f t="shared" si="4"/>
        <v>Jalas</v>
      </c>
      <c r="D64" s="2"/>
      <c r="E64" s="4">
        <v>0</v>
      </c>
      <c r="F64" s="2"/>
    </row>
    <row r="65" spans="1:6" x14ac:dyDescent="0.25">
      <c r="A65" t="str">
        <f t="shared" si="6"/>
        <v>10003566</v>
      </c>
      <c r="B65" t="str">
        <f>"AV! Sicherheitssandalen S1 ""3510"" MONZA WHITE JALA (Größe: 46)"</f>
        <v>AV! Sicherheitssandalen S1 "3510" MONZA WHITE JALA (Größe: 46)</v>
      </c>
      <c r="C65" t="str">
        <f t="shared" si="4"/>
        <v>Jalas</v>
      </c>
      <c r="D65" s="2"/>
      <c r="E65" s="4">
        <v>0</v>
      </c>
      <c r="F65" s="2"/>
    </row>
    <row r="66" spans="1:6" x14ac:dyDescent="0.25">
      <c r="A66" t="str">
        <f t="shared" si="6"/>
        <v>10003566</v>
      </c>
      <c r="B66" t="str">
        <f>"AV! Sicherheitssandalen S1 ""3510"" MONZA WHITE JALA (Größe: 47)"</f>
        <v>AV! Sicherheitssandalen S1 "3510" MONZA WHITE JALA (Größe: 47)</v>
      </c>
      <c r="C66" t="str">
        <f t="shared" ref="C66:C97" si="7">"Jalas"</f>
        <v>Jalas</v>
      </c>
      <c r="D66" s="2"/>
      <c r="E66" s="4">
        <v>51</v>
      </c>
      <c r="F66" s="2"/>
    </row>
    <row r="67" spans="1:6" x14ac:dyDescent="0.25">
      <c r="A67" t="str">
        <f t="shared" ref="A67:A79" si="8">"10003568"</f>
        <v>10003568</v>
      </c>
      <c r="B67" t="str">
        <f>"AV! Sicherheitshalbschuhe S1 ""WULF"" JALAS® 3650"</f>
        <v>AV! Sicherheitshalbschuhe S1 "WULF" JALAS® 3650</v>
      </c>
      <c r="C67" t="str">
        <f t="shared" si="7"/>
        <v>Jalas</v>
      </c>
      <c r="D67" s="2"/>
      <c r="E67" s="4">
        <v>0</v>
      </c>
      <c r="F67" s="2"/>
    </row>
    <row r="68" spans="1:6" x14ac:dyDescent="0.25">
      <c r="A68" t="str">
        <f t="shared" si="8"/>
        <v>10003568</v>
      </c>
      <c r="B68" t="str">
        <f>"AV! Sicherheitshalbschuhe S1 ""WULF"" JALAS® 3650 (Größe: 36)"</f>
        <v>AV! Sicherheitshalbschuhe S1 "WULF" JALAS® 3650 (Größe: 36)</v>
      </c>
      <c r="C68" t="str">
        <f t="shared" si="7"/>
        <v>Jalas</v>
      </c>
      <c r="D68" s="2"/>
      <c r="E68" s="4">
        <v>59</v>
      </c>
      <c r="F68" s="2"/>
    </row>
    <row r="69" spans="1:6" x14ac:dyDescent="0.25">
      <c r="A69" t="str">
        <f t="shared" si="8"/>
        <v>10003568</v>
      </c>
      <c r="B69" t="str">
        <f>"AV! Sicherheitshalbschuhe S1 ""WULF"" JALAS® 3650 (Größe: 37)"</f>
        <v>AV! Sicherheitshalbschuhe S1 "WULF" JALAS® 3650 (Größe: 37)</v>
      </c>
      <c r="C69" t="str">
        <f t="shared" si="7"/>
        <v>Jalas</v>
      </c>
      <c r="D69" s="2"/>
      <c r="E69" s="4">
        <v>80</v>
      </c>
      <c r="F69" s="2"/>
    </row>
    <row r="70" spans="1:6" x14ac:dyDescent="0.25">
      <c r="A70" t="str">
        <f t="shared" si="8"/>
        <v>10003568</v>
      </c>
      <c r="B70" t="str">
        <f>"AV! Sicherheitshalbschuhe S1 ""WULF"" JALAS® 3650 (Größe: 38)"</f>
        <v>AV! Sicherheitshalbschuhe S1 "WULF" JALAS® 3650 (Größe: 38)</v>
      </c>
      <c r="C70" t="str">
        <f t="shared" si="7"/>
        <v>Jalas</v>
      </c>
      <c r="D70" s="2"/>
      <c r="E70" s="4">
        <v>81</v>
      </c>
      <c r="F70" s="2"/>
    </row>
    <row r="71" spans="1:6" x14ac:dyDescent="0.25">
      <c r="A71" t="str">
        <f t="shared" si="8"/>
        <v>10003568</v>
      </c>
      <c r="B71" t="str">
        <f>"AV! Sicherheitshalbschuhe S1 ""WULF"" JALAS® 3650 (Größe: 39)"</f>
        <v>AV! Sicherheitshalbschuhe S1 "WULF" JALAS® 3650 (Größe: 39)</v>
      </c>
      <c r="C71" t="str">
        <f t="shared" si="7"/>
        <v>Jalas</v>
      </c>
      <c r="D71" s="2"/>
      <c r="E71" s="4">
        <v>118</v>
      </c>
      <c r="F71" s="2"/>
    </row>
    <row r="72" spans="1:6" x14ac:dyDescent="0.25">
      <c r="A72" t="str">
        <f t="shared" si="8"/>
        <v>10003568</v>
      </c>
      <c r="B72" t="str">
        <f>"AV! Sicherheitshalbschuhe S1 ""WULF"" JALAS® 3650 (Größe: 40)"</f>
        <v>AV! Sicherheitshalbschuhe S1 "WULF" JALAS® 3650 (Größe: 40)</v>
      </c>
      <c r="C72" t="str">
        <f t="shared" si="7"/>
        <v>Jalas</v>
      </c>
      <c r="D72" s="2"/>
      <c r="E72" s="4">
        <v>135</v>
      </c>
      <c r="F72" s="2"/>
    </row>
    <row r="73" spans="1:6" x14ac:dyDescent="0.25">
      <c r="A73" t="str">
        <f t="shared" si="8"/>
        <v>10003568</v>
      </c>
      <c r="B73" t="str">
        <f>"AV! Sicherheitshalbschuhe S1 ""WULF"" JALAS® 3650 (Größe: 41)"</f>
        <v>AV! Sicherheitshalbschuhe S1 "WULF" JALAS® 3650 (Größe: 41)</v>
      </c>
      <c r="C73" t="str">
        <f t="shared" si="7"/>
        <v>Jalas</v>
      </c>
      <c r="D73" s="2"/>
      <c r="E73" s="4">
        <v>154</v>
      </c>
      <c r="F73" s="2"/>
    </row>
    <row r="74" spans="1:6" x14ac:dyDescent="0.25">
      <c r="A74" t="str">
        <f t="shared" si="8"/>
        <v>10003568</v>
      </c>
      <c r="B74" t="str">
        <f>"AV! Sicherheitshalbschuhe S1 ""WULF"" JALAS® 3650 (Größe: 42)"</f>
        <v>AV! Sicherheitshalbschuhe S1 "WULF" JALAS® 3650 (Größe: 42)</v>
      </c>
      <c r="C74" t="str">
        <f t="shared" si="7"/>
        <v>Jalas</v>
      </c>
      <c r="D74" s="2"/>
      <c r="E74" s="4">
        <v>26</v>
      </c>
      <c r="F74" s="2"/>
    </row>
    <row r="75" spans="1:6" x14ac:dyDescent="0.25">
      <c r="A75" t="str">
        <f t="shared" si="8"/>
        <v>10003568</v>
      </c>
      <c r="B75" t="str">
        <f>"AV! Sicherheitshalbschuhe S1 ""WULF"" JALAS® 3650 (Größe: 43)"</f>
        <v>AV! Sicherheitshalbschuhe S1 "WULF" JALAS® 3650 (Größe: 43)</v>
      </c>
      <c r="C75" t="str">
        <f t="shared" si="7"/>
        <v>Jalas</v>
      </c>
      <c r="D75" s="2"/>
      <c r="E75" s="4">
        <v>0</v>
      </c>
      <c r="F75" s="2"/>
    </row>
    <row r="76" spans="1:6" x14ac:dyDescent="0.25">
      <c r="A76" t="str">
        <f t="shared" si="8"/>
        <v>10003568</v>
      </c>
      <c r="B76" t="str">
        <f>"AV! Sicherheitshalbschuhe S1 ""WULF"" JALAS® 3650 (Größe: 44)"</f>
        <v>AV! Sicherheitshalbschuhe S1 "WULF" JALAS® 3650 (Größe: 44)</v>
      </c>
      <c r="C76" t="str">
        <f t="shared" si="7"/>
        <v>Jalas</v>
      </c>
      <c r="D76" s="2"/>
      <c r="E76" s="4">
        <v>0</v>
      </c>
      <c r="F76" s="2"/>
    </row>
    <row r="77" spans="1:6" x14ac:dyDescent="0.25">
      <c r="A77" t="str">
        <f t="shared" si="8"/>
        <v>10003568</v>
      </c>
      <c r="B77" t="str">
        <f>"AV! Sicherheitshalbschuhe S1 ""WULF"" JALAS® 3650 (Größe: 45)"</f>
        <v>AV! Sicherheitshalbschuhe S1 "WULF" JALAS® 3650 (Größe: 45)</v>
      </c>
      <c r="C77" t="str">
        <f t="shared" si="7"/>
        <v>Jalas</v>
      </c>
      <c r="D77" s="2"/>
      <c r="E77" s="4">
        <v>0</v>
      </c>
      <c r="F77" s="2"/>
    </row>
    <row r="78" spans="1:6" x14ac:dyDescent="0.25">
      <c r="A78" t="str">
        <f t="shared" si="8"/>
        <v>10003568</v>
      </c>
      <c r="B78" t="str">
        <f>"AV! Sicherheitshalbschuhe S1 ""WULF"" JALAS® 3650 (Größe: 46)"</f>
        <v>AV! Sicherheitshalbschuhe S1 "WULF" JALAS® 3650 (Größe: 46)</v>
      </c>
      <c r="C78" t="str">
        <f t="shared" si="7"/>
        <v>Jalas</v>
      </c>
      <c r="D78" s="2"/>
      <c r="E78" s="4">
        <v>0</v>
      </c>
      <c r="F78" s="2"/>
    </row>
    <row r="79" spans="1:6" x14ac:dyDescent="0.25">
      <c r="A79" t="str">
        <f t="shared" si="8"/>
        <v>10003568</v>
      </c>
      <c r="B79" t="str">
        <f>"AV! Sicherheitshalbschuhe S1 ""WULF"" JALAS® 3650 (Größe: 47)"</f>
        <v>AV! Sicherheitshalbschuhe S1 "WULF" JALAS® 3650 (Größe: 47)</v>
      </c>
      <c r="C79" t="str">
        <f t="shared" si="7"/>
        <v>Jalas</v>
      </c>
      <c r="D79" s="2"/>
      <c r="E79" s="4">
        <v>30</v>
      </c>
      <c r="F79" s="2"/>
    </row>
    <row r="80" spans="1:6" x14ac:dyDescent="0.25">
      <c r="A80" t="str">
        <f t="shared" ref="A80:A92" si="9">"10003571"</f>
        <v>10003571</v>
      </c>
      <c r="B80" t="str">
        <f>"AV! Sicherheitshalbschuhe S2 3830 RESPIRO JALAS®"</f>
        <v>AV! Sicherheitshalbschuhe S2 3830 RESPIRO JALAS®</v>
      </c>
      <c r="C80" t="str">
        <f t="shared" si="7"/>
        <v>Jalas</v>
      </c>
      <c r="D80" s="2"/>
      <c r="E80" s="4">
        <v>0</v>
      </c>
      <c r="F80" s="2"/>
    </row>
    <row r="81" spans="1:6" x14ac:dyDescent="0.25">
      <c r="A81" t="str">
        <f t="shared" si="9"/>
        <v>10003571</v>
      </c>
      <c r="B81" t="str">
        <f>"AV! Sicherheitshalbschuhe S2 3830 RESPIRO JALAS® (Größe: 36)"</f>
        <v>AV! Sicherheitshalbschuhe S2 3830 RESPIRO JALAS® (Größe: 36)</v>
      </c>
      <c r="C81" t="str">
        <f t="shared" si="7"/>
        <v>Jalas</v>
      </c>
      <c r="D81" s="2"/>
      <c r="E81" s="4">
        <v>15</v>
      </c>
      <c r="F81" s="2"/>
    </row>
    <row r="82" spans="1:6" x14ac:dyDescent="0.25">
      <c r="A82" t="str">
        <f t="shared" si="9"/>
        <v>10003571</v>
      </c>
      <c r="B82" t="str">
        <f>"AV! Sicherheitshalbschuhe S2 3830 RESPIRO JALAS® (Größe: 37)"</f>
        <v>AV! Sicherheitshalbschuhe S2 3830 RESPIRO JALAS® (Größe: 37)</v>
      </c>
      <c r="C82" t="str">
        <f t="shared" si="7"/>
        <v>Jalas</v>
      </c>
      <c r="D82" s="2"/>
      <c r="E82" s="4">
        <v>48</v>
      </c>
      <c r="F82" s="2"/>
    </row>
    <row r="83" spans="1:6" x14ac:dyDescent="0.25">
      <c r="A83" t="str">
        <f t="shared" si="9"/>
        <v>10003571</v>
      </c>
      <c r="B83" t="str">
        <f>"AV! Sicherheitshalbschuhe S2 3830 RESPIRO JALAS® (Größe: 38)"</f>
        <v>AV! Sicherheitshalbschuhe S2 3830 RESPIRO JALAS® (Größe: 38)</v>
      </c>
      <c r="C83" t="str">
        <f t="shared" si="7"/>
        <v>Jalas</v>
      </c>
      <c r="D83" s="2"/>
      <c r="E83" s="4">
        <v>45</v>
      </c>
      <c r="F83" s="2"/>
    </row>
    <row r="84" spans="1:6" x14ac:dyDescent="0.25">
      <c r="A84" t="str">
        <f t="shared" si="9"/>
        <v>10003571</v>
      </c>
      <c r="B84" t="str">
        <f>"AV! Sicherheitshalbschuhe S2 3830 RESPIRO JALAS® (Größe: 39)"</f>
        <v>AV! Sicherheitshalbschuhe S2 3830 RESPIRO JALAS® (Größe: 39)</v>
      </c>
      <c r="C84" t="str">
        <f t="shared" si="7"/>
        <v>Jalas</v>
      </c>
      <c r="D84" s="2"/>
      <c r="E84" s="4">
        <v>77</v>
      </c>
      <c r="F84" s="2"/>
    </row>
    <row r="85" spans="1:6" x14ac:dyDescent="0.25">
      <c r="A85" t="str">
        <f t="shared" si="9"/>
        <v>10003571</v>
      </c>
      <c r="B85" t="str">
        <f>"AV! Sicherheitshalbschuhe S2 3830 RESPIRO JALAS® (Größe: 40)"</f>
        <v>AV! Sicherheitshalbschuhe S2 3830 RESPIRO JALAS® (Größe: 40)</v>
      </c>
      <c r="C85" t="str">
        <f t="shared" si="7"/>
        <v>Jalas</v>
      </c>
      <c r="D85" s="2"/>
      <c r="E85" s="4">
        <v>4</v>
      </c>
      <c r="F85" s="2"/>
    </row>
    <row r="86" spans="1:6" x14ac:dyDescent="0.25">
      <c r="A86" t="str">
        <f t="shared" si="9"/>
        <v>10003571</v>
      </c>
      <c r="B86" t="str">
        <f>"AV! Sicherheitshalbschuhe S2 3830 RESPIRO JALAS® (Größe: 41)"</f>
        <v>AV! Sicherheitshalbschuhe S2 3830 RESPIRO JALAS® (Größe: 41)</v>
      </c>
      <c r="C86" t="str">
        <f t="shared" si="7"/>
        <v>Jalas</v>
      </c>
      <c r="D86" s="2"/>
      <c r="E86" s="4">
        <v>0</v>
      </c>
      <c r="F86" s="2"/>
    </row>
    <row r="87" spans="1:6" x14ac:dyDescent="0.25">
      <c r="A87" t="str">
        <f t="shared" si="9"/>
        <v>10003571</v>
      </c>
      <c r="B87" t="str">
        <f>"AV! Sicherheitshalbschuhe S2 3830 RESPIRO JALAS® (Größe: 42)"</f>
        <v>AV! Sicherheitshalbschuhe S2 3830 RESPIRO JALAS® (Größe: 42)</v>
      </c>
      <c r="C87" t="str">
        <f t="shared" si="7"/>
        <v>Jalas</v>
      </c>
      <c r="D87" s="2"/>
      <c r="E87" s="4">
        <v>0</v>
      </c>
      <c r="F87" s="2"/>
    </row>
    <row r="88" spans="1:6" x14ac:dyDescent="0.25">
      <c r="A88" t="str">
        <f t="shared" si="9"/>
        <v>10003571</v>
      </c>
      <c r="B88" t="str">
        <f>"AV! Sicherheitshalbschuhe S2 3830 RESPIRO JALAS® (Größe: 43)"</f>
        <v>AV! Sicherheitshalbschuhe S2 3830 RESPIRO JALAS® (Größe: 43)</v>
      </c>
      <c r="C88" t="str">
        <f t="shared" si="7"/>
        <v>Jalas</v>
      </c>
      <c r="D88" s="2"/>
      <c r="E88" s="4">
        <v>0</v>
      </c>
      <c r="F88" s="2"/>
    </row>
    <row r="89" spans="1:6" x14ac:dyDescent="0.25">
      <c r="A89" t="str">
        <f t="shared" si="9"/>
        <v>10003571</v>
      </c>
      <c r="B89" t="str">
        <f>"AV! Sicherheitshalbschuhe S2 3830 RESPIRO JALAS® (Größe: 44)"</f>
        <v>AV! Sicherheitshalbschuhe S2 3830 RESPIRO JALAS® (Größe: 44)</v>
      </c>
      <c r="C89" t="str">
        <f t="shared" si="7"/>
        <v>Jalas</v>
      </c>
      <c r="D89" s="2"/>
      <c r="E89" s="4">
        <v>0</v>
      </c>
      <c r="F89" s="2"/>
    </row>
    <row r="90" spans="1:6" x14ac:dyDescent="0.25">
      <c r="A90" t="str">
        <f t="shared" si="9"/>
        <v>10003571</v>
      </c>
      <c r="B90" t="str">
        <f>"AV! Sicherheitshalbschuhe S2 3830 RESPIRO JALAS® (Größe: 45)"</f>
        <v>AV! Sicherheitshalbschuhe S2 3830 RESPIRO JALAS® (Größe: 45)</v>
      </c>
      <c r="C90" t="str">
        <f t="shared" si="7"/>
        <v>Jalas</v>
      </c>
      <c r="D90" s="2"/>
      <c r="E90" s="4">
        <v>0</v>
      </c>
      <c r="F90" s="2"/>
    </row>
    <row r="91" spans="1:6" x14ac:dyDescent="0.25">
      <c r="A91" t="str">
        <f t="shared" si="9"/>
        <v>10003571</v>
      </c>
      <c r="B91" t="str">
        <f>"AV! Sicherheitshalbschuhe S2 3830 RESPIRO JALAS® (Größe: 46)"</f>
        <v>AV! Sicherheitshalbschuhe S2 3830 RESPIRO JALAS® (Größe: 46)</v>
      </c>
      <c r="C91" t="str">
        <f t="shared" si="7"/>
        <v>Jalas</v>
      </c>
      <c r="D91" s="2"/>
      <c r="E91" s="4">
        <v>0</v>
      </c>
      <c r="F91" s="2"/>
    </row>
    <row r="92" spans="1:6" x14ac:dyDescent="0.25">
      <c r="A92" t="str">
        <f t="shared" si="9"/>
        <v>10003571</v>
      </c>
      <c r="B92" t="str">
        <f>"AV! Sicherheitshalbschuhe S2 3830 RESPIRO JALAS® (Größe: 47)"</f>
        <v>AV! Sicherheitshalbschuhe S2 3830 RESPIRO JALAS® (Größe: 47)</v>
      </c>
      <c r="C92" t="str">
        <f t="shared" si="7"/>
        <v>Jalas</v>
      </c>
      <c r="D92" s="2"/>
      <c r="E92" s="4">
        <v>0</v>
      </c>
      <c r="F92" s="2"/>
    </row>
    <row r="93" spans="1:6" x14ac:dyDescent="0.25">
      <c r="A93" t="str">
        <f t="shared" ref="A93:A105" si="10">"10003572"</f>
        <v>10003572</v>
      </c>
      <c r="B93" t="str">
        <f>"AV!Sicherheitshalbschuhe S1 ""NOVA C""3840GeoxJALAS®"</f>
        <v>AV!Sicherheitshalbschuhe S1 "NOVA C"3840GeoxJALAS®</v>
      </c>
      <c r="C93" t="str">
        <f t="shared" si="7"/>
        <v>Jalas</v>
      </c>
      <c r="D93" s="2"/>
      <c r="E93" s="4">
        <v>0</v>
      </c>
      <c r="F93" s="2"/>
    </row>
    <row r="94" spans="1:6" x14ac:dyDescent="0.25">
      <c r="A94" t="str">
        <f t="shared" si="10"/>
        <v>10003572</v>
      </c>
      <c r="B94" t="str">
        <f>"AV!Sicherheitshalbschuhe S1 ""NOVA C""3840GeoxJALAS® (Größe: 36)"</f>
        <v>AV!Sicherheitshalbschuhe S1 "NOVA C"3840GeoxJALAS® (Größe: 36)</v>
      </c>
      <c r="C94" t="str">
        <f t="shared" si="7"/>
        <v>Jalas</v>
      </c>
      <c r="D94" s="2"/>
      <c r="E94" s="4">
        <v>0</v>
      </c>
      <c r="F94" s="2"/>
    </row>
    <row r="95" spans="1:6" x14ac:dyDescent="0.25">
      <c r="A95" t="str">
        <f t="shared" si="10"/>
        <v>10003572</v>
      </c>
      <c r="B95" t="str">
        <f>"AV!Sicherheitshalbschuhe S1 ""NOVA C""3840GeoxJALAS® (Größe: 37)"</f>
        <v>AV!Sicherheitshalbschuhe S1 "NOVA C"3840GeoxJALAS® (Größe: 37)</v>
      </c>
      <c r="C95" t="str">
        <f t="shared" si="7"/>
        <v>Jalas</v>
      </c>
      <c r="D95" s="2"/>
      <c r="E95" s="4">
        <v>0</v>
      </c>
      <c r="F95" s="2"/>
    </row>
    <row r="96" spans="1:6" x14ac:dyDescent="0.25">
      <c r="A96" t="str">
        <f t="shared" si="10"/>
        <v>10003572</v>
      </c>
      <c r="B96" t="str">
        <f>"AV!Sicherheitshalbschuhe S1 ""NOVA C""3840GeoxJALAS® (Größe: 38)"</f>
        <v>AV!Sicherheitshalbschuhe S1 "NOVA C"3840GeoxJALAS® (Größe: 38)</v>
      </c>
      <c r="C96" t="str">
        <f t="shared" si="7"/>
        <v>Jalas</v>
      </c>
      <c r="D96" s="2"/>
      <c r="E96" s="4">
        <v>62</v>
      </c>
      <c r="F96" s="2"/>
    </row>
    <row r="97" spans="1:6" x14ac:dyDescent="0.25">
      <c r="A97" t="str">
        <f t="shared" si="10"/>
        <v>10003572</v>
      </c>
      <c r="B97" t="str">
        <f>"AV!Sicherheitshalbschuhe S1 ""NOVA C""3840GeoxJALAS® (Größe: 39)"</f>
        <v>AV!Sicherheitshalbschuhe S1 "NOVA C"3840GeoxJALAS® (Größe: 39)</v>
      </c>
      <c r="C97" t="str">
        <f t="shared" si="7"/>
        <v>Jalas</v>
      </c>
      <c r="D97" s="2"/>
      <c r="E97" s="4">
        <v>37</v>
      </c>
      <c r="F97" s="2"/>
    </row>
    <row r="98" spans="1:6" x14ac:dyDescent="0.25">
      <c r="A98" t="str">
        <f t="shared" si="10"/>
        <v>10003572</v>
      </c>
      <c r="B98" t="str">
        <f>"AV!Sicherheitshalbschuhe S1 ""NOVA C""3840GeoxJALAS® (Größe: 40)"</f>
        <v>AV!Sicherheitshalbschuhe S1 "NOVA C"3840GeoxJALAS® (Größe: 40)</v>
      </c>
      <c r="C98" t="str">
        <f t="shared" ref="C98:C129" si="11">"Jalas"</f>
        <v>Jalas</v>
      </c>
      <c r="D98" s="2"/>
      <c r="E98" s="4">
        <v>58</v>
      </c>
      <c r="F98" s="2"/>
    </row>
    <row r="99" spans="1:6" x14ac:dyDescent="0.25">
      <c r="A99" t="str">
        <f t="shared" si="10"/>
        <v>10003572</v>
      </c>
      <c r="B99" t="str">
        <f>"AV!Sicherheitshalbschuhe S1 ""NOVA C""3840GeoxJALAS® (Größe: 41)"</f>
        <v>AV!Sicherheitshalbschuhe S1 "NOVA C"3840GeoxJALAS® (Größe: 41)</v>
      </c>
      <c r="C99" t="str">
        <f t="shared" si="11"/>
        <v>Jalas</v>
      </c>
      <c r="D99" s="2"/>
      <c r="E99" s="4">
        <v>68</v>
      </c>
      <c r="F99" s="2"/>
    </row>
    <row r="100" spans="1:6" x14ac:dyDescent="0.25">
      <c r="A100" t="str">
        <f t="shared" si="10"/>
        <v>10003572</v>
      </c>
      <c r="B100" t="str">
        <f>"AV!Sicherheitshalbschuhe S1 ""NOVA C""3840GeoxJALAS® (Größe: 42)"</f>
        <v>AV!Sicherheitshalbschuhe S1 "NOVA C"3840GeoxJALAS® (Größe: 42)</v>
      </c>
      <c r="C100" t="str">
        <f t="shared" si="11"/>
        <v>Jalas</v>
      </c>
      <c r="D100" s="2"/>
      <c r="E100" s="4">
        <v>50</v>
      </c>
      <c r="F100" s="2"/>
    </row>
    <row r="101" spans="1:6" x14ac:dyDescent="0.25">
      <c r="A101" t="str">
        <f t="shared" si="10"/>
        <v>10003572</v>
      </c>
      <c r="B101" t="str">
        <f>"AV!Sicherheitshalbschuhe S1 ""NOVA C""3840GeoxJALAS® (Größe: 43)"</f>
        <v>AV!Sicherheitshalbschuhe S1 "NOVA C"3840GeoxJALAS® (Größe: 43)</v>
      </c>
      <c r="C101" t="str">
        <f t="shared" si="11"/>
        <v>Jalas</v>
      </c>
      <c r="D101" s="2"/>
      <c r="E101" s="4">
        <v>0</v>
      </c>
      <c r="F101" s="2"/>
    </row>
    <row r="102" spans="1:6" x14ac:dyDescent="0.25">
      <c r="A102" t="str">
        <f t="shared" si="10"/>
        <v>10003572</v>
      </c>
      <c r="B102" t="str">
        <f>"AV!Sicherheitshalbschuhe S1 ""NOVA C""3840GeoxJALAS® (Größe: 44)"</f>
        <v>AV!Sicherheitshalbschuhe S1 "NOVA C"3840GeoxJALAS® (Größe: 44)</v>
      </c>
      <c r="C102" t="str">
        <f t="shared" si="11"/>
        <v>Jalas</v>
      </c>
      <c r="D102" s="2"/>
      <c r="E102" s="4">
        <v>0</v>
      </c>
      <c r="F102" s="2"/>
    </row>
    <row r="103" spans="1:6" x14ac:dyDescent="0.25">
      <c r="A103" t="str">
        <f t="shared" si="10"/>
        <v>10003572</v>
      </c>
      <c r="B103" t="str">
        <f>"AV!Sicherheitshalbschuhe S1 ""NOVA C""3840GeoxJALAS® (Größe: 45)"</f>
        <v>AV!Sicherheitshalbschuhe S1 "NOVA C"3840GeoxJALAS® (Größe: 45)</v>
      </c>
      <c r="C103" t="str">
        <f t="shared" si="11"/>
        <v>Jalas</v>
      </c>
      <c r="D103" s="2"/>
      <c r="E103" s="4">
        <v>0</v>
      </c>
      <c r="F103" s="2"/>
    </row>
    <row r="104" spans="1:6" x14ac:dyDescent="0.25">
      <c r="A104" t="str">
        <f t="shared" si="10"/>
        <v>10003572</v>
      </c>
      <c r="B104" t="str">
        <f>"AV!Sicherheitshalbschuhe S1 ""NOVA C""3840GeoxJALAS® (Größe: 46)"</f>
        <v>AV!Sicherheitshalbschuhe S1 "NOVA C"3840GeoxJALAS® (Größe: 46)</v>
      </c>
      <c r="C104" t="str">
        <f t="shared" si="11"/>
        <v>Jalas</v>
      </c>
      <c r="D104" s="2"/>
      <c r="E104" s="4">
        <v>0</v>
      </c>
      <c r="F104" s="2"/>
    </row>
    <row r="105" spans="1:6" x14ac:dyDescent="0.25">
      <c r="A105" t="str">
        <f t="shared" si="10"/>
        <v>10003572</v>
      </c>
      <c r="B105" t="str">
        <f>"AV!Sicherheitshalbschuhe S1 ""NOVA C""3840GeoxJALAS® (Größe: 47)"</f>
        <v>AV!Sicherheitshalbschuhe S1 "NOVA C"3840GeoxJALAS® (Größe: 47)</v>
      </c>
      <c r="C105" t="str">
        <f t="shared" si="11"/>
        <v>Jalas</v>
      </c>
      <c r="D105" s="2"/>
      <c r="E105" s="4">
        <v>0</v>
      </c>
      <c r="F105" s="2"/>
    </row>
    <row r="106" spans="1:6" x14ac:dyDescent="0.25">
      <c r="A106" t="str">
        <f t="shared" ref="A106:A118" si="12">"10003573"</f>
        <v>10003573</v>
      </c>
      <c r="B106" t="str">
        <f>"AV!Sicherheitshalbschuhe S2 COYOTE 3890 Geox JALAS"</f>
        <v>AV!Sicherheitshalbschuhe S2 COYOTE 3890 Geox JALAS</v>
      </c>
      <c r="C106" t="str">
        <f t="shared" si="11"/>
        <v>Jalas</v>
      </c>
      <c r="D106" s="2"/>
      <c r="E106" s="4">
        <v>0</v>
      </c>
      <c r="F106" s="2"/>
    </row>
    <row r="107" spans="1:6" x14ac:dyDescent="0.25">
      <c r="A107" t="str">
        <f t="shared" si="12"/>
        <v>10003573</v>
      </c>
      <c r="B107" t="str">
        <f>"AV!Sicherheitshalbschuhe S2 COYOTE 3890 Geox JALAS (Größe: 36)"</f>
        <v>AV!Sicherheitshalbschuhe S2 COYOTE 3890 Geox JALAS (Größe: 36)</v>
      </c>
      <c r="C107" t="str">
        <f t="shared" si="11"/>
        <v>Jalas</v>
      </c>
      <c r="D107" s="2"/>
      <c r="E107" s="4">
        <v>77</v>
      </c>
      <c r="F107" s="2"/>
    </row>
    <row r="108" spans="1:6" x14ac:dyDescent="0.25">
      <c r="A108" t="str">
        <f t="shared" si="12"/>
        <v>10003573</v>
      </c>
      <c r="B108" t="str">
        <f>"AV!Sicherheitshalbschuhe S2 COYOTE 3890 Geox JALAS (Größe: 37)"</f>
        <v>AV!Sicherheitshalbschuhe S2 COYOTE 3890 Geox JALAS (Größe: 37)</v>
      </c>
      <c r="C108" t="str">
        <f t="shared" si="11"/>
        <v>Jalas</v>
      </c>
      <c r="D108" s="2"/>
      <c r="E108" s="4">
        <v>25</v>
      </c>
      <c r="F108" s="2"/>
    </row>
    <row r="109" spans="1:6" x14ac:dyDescent="0.25">
      <c r="A109" t="str">
        <f t="shared" si="12"/>
        <v>10003573</v>
      </c>
      <c r="B109" t="str">
        <f>"AV!Sicherheitshalbschuhe S2 COYOTE 3890 Geox JALAS (Größe: 38)"</f>
        <v>AV!Sicherheitshalbschuhe S2 COYOTE 3890 Geox JALAS (Größe: 38)</v>
      </c>
      <c r="C109" t="str">
        <f t="shared" si="11"/>
        <v>Jalas</v>
      </c>
      <c r="D109" s="2"/>
      <c r="E109" s="4">
        <v>0</v>
      </c>
      <c r="F109" s="2"/>
    </row>
    <row r="110" spans="1:6" x14ac:dyDescent="0.25">
      <c r="A110" t="str">
        <f t="shared" si="12"/>
        <v>10003573</v>
      </c>
      <c r="B110" t="str">
        <f>"AV!Sicherheitshalbschuhe S2 COYOTE 3890 Geox JALAS (Größe: 39)"</f>
        <v>AV!Sicherheitshalbschuhe S2 COYOTE 3890 Geox JALAS (Größe: 39)</v>
      </c>
      <c r="C110" t="str">
        <f t="shared" si="11"/>
        <v>Jalas</v>
      </c>
      <c r="D110" s="2"/>
      <c r="E110" s="4">
        <v>8</v>
      </c>
      <c r="F110" s="2"/>
    </row>
    <row r="111" spans="1:6" x14ac:dyDescent="0.25">
      <c r="A111" t="str">
        <f t="shared" si="12"/>
        <v>10003573</v>
      </c>
      <c r="B111" t="str">
        <f>"AV!Sicherheitshalbschuhe S2 COYOTE 3890 Geox JALAS (Größe: 40)"</f>
        <v>AV!Sicherheitshalbschuhe S2 COYOTE 3890 Geox JALAS (Größe: 40)</v>
      </c>
      <c r="C111" t="str">
        <f t="shared" si="11"/>
        <v>Jalas</v>
      </c>
      <c r="D111" s="2"/>
      <c r="E111" s="4">
        <v>0</v>
      </c>
      <c r="F111" s="2"/>
    </row>
    <row r="112" spans="1:6" x14ac:dyDescent="0.25">
      <c r="A112" t="str">
        <f t="shared" si="12"/>
        <v>10003573</v>
      </c>
      <c r="B112" t="str">
        <f>"AV!Sicherheitshalbschuhe S2 COYOTE 3890 Geox JALAS (Größe: 41)"</f>
        <v>AV!Sicherheitshalbschuhe S2 COYOTE 3890 Geox JALAS (Größe: 41)</v>
      </c>
      <c r="C112" t="str">
        <f t="shared" si="11"/>
        <v>Jalas</v>
      </c>
      <c r="D112" s="2"/>
      <c r="E112" s="4">
        <v>28</v>
      </c>
      <c r="F112" s="2"/>
    </row>
    <row r="113" spans="1:6" x14ac:dyDescent="0.25">
      <c r="A113" t="str">
        <f t="shared" si="12"/>
        <v>10003573</v>
      </c>
      <c r="B113" t="str">
        <f>"AV!Sicherheitshalbschuhe S2 COYOTE 3890 Geox JALAS (Größe: 42)"</f>
        <v>AV!Sicherheitshalbschuhe S2 COYOTE 3890 Geox JALAS (Größe: 42)</v>
      </c>
      <c r="C113" t="str">
        <f t="shared" si="11"/>
        <v>Jalas</v>
      </c>
      <c r="D113" s="2"/>
      <c r="E113" s="4">
        <v>0</v>
      </c>
      <c r="F113" s="2"/>
    </row>
    <row r="114" spans="1:6" x14ac:dyDescent="0.25">
      <c r="A114" t="str">
        <f t="shared" si="12"/>
        <v>10003573</v>
      </c>
      <c r="B114" t="str">
        <f>"AV!Sicherheitshalbschuhe S2 COYOTE 3890 Geox JALAS (Größe: 43)"</f>
        <v>AV!Sicherheitshalbschuhe S2 COYOTE 3890 Geox JALAS (Größe: 43)</v>
      </c>
      <c r="C114" t="str">
        <f t="shared" si="11"/>
        <v>Jalas</v>
      </c>
      <c r="D114" s="2"/>
      <c r="E114" s="4">
        <v>0</v>
      </c>
      <c r="F114" s="2"/>
    </row>
    <row r="115" spans="1:6" x14ac:dyDescent="0.25">
      <c r="A115" t="str">
        <f t="shared" si="12"/>
        <v>10003573</v>
      </c>
      <c r="B115" t="str">
        <f>"AV!Sicherheitshalbschuhe S2 COYOTE 3890 Geox JALAS (Größe: 44)"</f>
        <v>AV!Sicherheitshalbschuhe S2 COYOTE 3890 Geox JALAS (Größe: 44)</v>
      </c>
      <c r="C115" t="str">
        <f t="shared" si="11"/>
        <v>Jalas</v>
      </c>
      <c r="D115" s="2"/>
      <c r="E115" s="4">
        <v>0</v>
      </c>
      <c r="F115" s="2"/>
    </row>
    <row r="116" spans="1:6" x14ac:dyDescent="0.25">
      <c r="A116" t="str">
        <f t="shared" si="12"/>
        <v>10003573</v>
      </c>
      <c r="B116" t="str">
        <f>"AV!Sicherheitshalbschuhe S2 COYOTE 3890 Geox JALAS (Größe: 45)"</f>
        <v>AV!Sicherheitshalbschuhe S2 COYOTE 3890 Geox JALAS (Größe: 45)</v>
      </c>
      <c r="C116" t="str">
        <f t="shared" si="11"/>
        <v>Jalas</v>
      </c>
      <c r="D116" s="2"/>
      <c r="E116" s="4">
        <v>0</v>
      </c>
      <c r="F116" s="2"/>
    </row>
    <row r="117" spans="1:6" x14ac:dyDescent="0.25">
      <c r="A117" t="str">
        <f t="shared" si="12"/>
        <v>10003573</v>
      </c>
      <c r="B117" t="str">
        <f>"AV!Sicherheitshalbschuhe S2 COYOTE 3890 Geox JALAS (Größe: 46)"</f>
        <v>AV!Sicherheitshalbschuhe S2 COYOTE 3890 Geox JALAS (Größe: 46)</v>
      </c>
      <c r="C117" t="str">
        <f t="shared" si="11"/>
        <v>Jalas</v>
      </c>
      <c r="D117" s="2"/>
      <c r="E117" s="4">
        <v>0</v>
      </c>
      <c r="F117" s="2"/>
    </row>
    <row r="118" spans="1:6" x14ac:dyDescent="0.25">
      <c r="A118" t="str">
        <f t="shared" si="12"/>
        <v>10003573</v>
      </c>
      <c r="B118" t="str">
        <f>"AV!Sicherheitshalbschuhe S2 COYOTE 3890 Geox JALAS (Größe: 47)"</f>
        <v>AV!Sicherheitshalbschuhe S2 COYOTE 3890 Geox JALAS (Größe: 47)</v>
      </c>
      <c r="C118" t="str">
        <f t="shared" si="11"/>
        <v>Jalas</v>
      </c>
      <c r="D118" s="2"/>
      <c r="E118" s="4">
        <v>22</v>
      </c>
      <c r="F118" s="2"/>
    </row>
    <row r="119" spans="1:6" x14ac:dyDescent="0.25">
      <c r="A119" t="str">
        <f t="shared" ref="A119:A131" si="13">"10003603"</f>
        <v>10003603</v>
      </c>
      <c r="B119" t="str">
        <f>"AV!Berufshalbschuhe O2 ""5222"" TOUR GEOX - JALAS®"</f>
        <v>AV!Berufshalbschuhe O2 "5222" TOUR GEOX - JALAS®</v>
      </c>
      <c r="C119" t="str">
        <f t="shared" si="11"/>
        <v>Jalas</v>
      </c>
      <c r="D119" s="2"/>
      <c r="E119" s="4">
        <v>0</v>
      </c>
      <c r="F119" s="2"/>
    </row>
    <row r="120" spans="1:6" x14ac:dyDescent="0.25">
      <c r="A120" t="str">
        <f t="shared" si="13"/>
        <v>10003603</v>
      </c>
      <c r="B120" t="str">
        <f>"AV!Berufshalbschuhe O2 ""5222"" TOUR GEOX - JALAS® (Größe: 36)"</f>
        <v>AV!Berufshalbschuhe O2 "5222" TOUR GEOX - JALAS® (Größe: 36)</v>
      </c>
      <c r="C120" t="str">
        <f t="shared" si="11"/>
        <v>Jalas</v>
      </c>
      <c r="D120" s="2"/>
      <c r="E120" s="4">
        <v>26</v>
      </c>
      <c r="F120" s="2"/>
    </row>
    <row r="121" spans="1:6" x14ac:dyDescent="0.25">
      <c r="A121" t="str">
        <f t="shared" si="13"/>
        <v>10003603</v>
      </c>
      <c r="B121" t="str">
        <f>"AV!Berufshalbschuhe O2 ""5222"" TOUR GEOX - JALAS® (Größe: 37)"</f>
        <v>AV!Berufshalbschuhe O2 "5222" TOUR GEOX - JALAS® (Größe: 37)</v>
      </c>
      <c r="C121" t="str">
        <f t="shared" si="11"/>
        <v>Jalas</v>
      </c>
      <c r="D121" s="2"/>
      <c r="E121" s="4">
        <v>0</v>
      </c>
      <c r="F121" s="2"/>
    </row>
    <row r="122" spans="1:6" x14ac:dyDescent="0.25">
      <c r="A122" t="str">
        <f t="shared" si="13"/>
        <v>10003603</v>
      </c>
      <c r="B122" t="str">
        <f>"AV!Berufshalbschuhe O2 ""5222"" TOUR GEOX - JALAS® (Größe: 38)"</f>
        <v>AV!Berufshalbschuhe O2 "5222" TOUR GEOX - JALAS® (Größe: 38)</v>
      </c>
      <c r="C122" t="str">
        <f t="shared" si="11"/>
        <v>Jalas</v>
      </c>
      <c r="D122" s="2"/>
      <c r="E122" s="4">
        <v>0</v>
      </c>
      <c r="F122" s="2"/>
    </row>
    <row r="123" spans="1:6" x14ac:dyDescent="0.25">
      <c r="A123" t="str">
        <f t="shared" si="13"/>
        <v>10003603</v>
      </c>
      <c r="B123" t="str">
        <f>"AV!Berufshalbschuhe O2 ""5222"" TOUR GEOX - JALAS® (Größe: 39)"</f>
        <v>AV!Berufshalbschuhe O2 "5222" TOUR GEOX - JALAS® (Größe: 39)</v>
      </c>
      <c r="C123" t="str">
        <f t="shared" si="11"/>
        <v>Jalas</v>
      </c>
      <c r="D123" s="2"/>
      <c r="E123" s="4">
        <v>0</v>
      </c>
      <c r="F123" s="2"/>
    </row>
    <row r="124" spans="1:6" x14ac:dyDescent="0.25">
      <c r="A124" t="str">
        <f t="shared" si="13"/>
        <v>10003603</v>
      </c>
      <c r="B124" t="str">
        <f>"AV!Berufshalbschuhe O2 ""5222"" TOUR GEOX - JALAS® (Größe: 40)"</f>
        <v>AV!Berufshalbschuhe O2 "5222" TOUR GEOX - JALAS® (Größe: 40)</v>
      </c>
      <c r="C124" t="str">
        <f t="shared" si="11"/>
        <v>Jalas</v>
      </c>
      <c r="D124" s="2"/>
      <c r="E124" s="4">
        <v>0</v>
      </c>
      <c r="F124" s="2"/>
    </row>
    <row r="125" spans="1:6" x14ac:dyDescent="0.25">
      <c r="A125" t="str">
        <f t="shared" si="13"/>
        <v>10003603</v>
      </c>
      <c r="B125" t="str">
        <f>"AV!Berufshalbschuhe O2 ""5222"" TOUR GEOX - JALAS® (Größe: 41)"</f>
        <v>AV!Berufshalbschuhe O2 "5222" TOUR GEOX - JALAS® (Größe: 41)</v>
      </c>
      <c r="C125" t="str">
        <f t="shared" si="11"/>
        <v>Jalas</v>
      </c>
      <c r="D125" s="2"/>
      <c r="E125" s="4">
        <v>0</v>
      </c>
      <c r="F125" s="2"/>
    </row>
    <row r="126" spans="1:6" x14ac:dyDescent="0.25">
      <c r="A126" t="str">
        <f t="shared" si="13"/>
        <v>10003603</v>
      </c>
      <c r="B126" t="str">
        <f>"AV!Berufshalbschuhe O2 ""5222"" TOUR GEOX - JALAS® (Größe: 42)"</f>
        <v>AV!Berufshalbschuhe O2 "5222" TOUR GEOX - JALAS® (Größe: 42)</v>
      </c>
      <c r="C126" t="str">
        <f t="shared" si="11"/>
        <v>Jalas</v>
      </c>
      <c r="D126" s="2"/>
      <c r="E126" s="4">
        <v>0</v>
      </c>
      <c r="F126" s="2"/>
    </row>
    <row r="127" spans="1:6" x14ac:dyDescent="0.25">
      <c r="A127" t="str">
        <f t="shared" si="13"/>
        <v>10003603</v>
      </c>
      <c r="B127" t="str">
        <f>"AV!Berufshalbschuhe O2 ""5222"" TOUR GEOX - JALAS® (Größe: 43)"</f>
        <v>AV!Berufshalbschuhe O2 "5222" TOUR GEOX - JALAS® (Größe: 43)</v>
      </c>
      <c r="C127" t="str">
        <f t="shared" si="11"/>
        <v>Jalas</v>
      </c>
      <c r="D127" s="2"/>
      <c r="E127" s="4">
        <v>0</v>
      </c>
      <c r="F127" s="2"/>
    </row>
    <row r="128" spans="1:6" x14ac:dyDescent="0.25">
      <c r="A128" t="str">
        <f t="shared" si="13"/>
        <v>10003603</v>
      </c>
      <c r="B128" t="str">
        <f>"AV!Berufshalbschuhe O2 ""5222"" TOUR GEOX - JALAS® (Größe: 44)"</f>
        <v>AV!Berufshalbschuhe O2 "5222" TOUR GEOX - JALAS® (Größe: 44)</v>
      </c>
      <c r="C128" t="str">
        <f t="shared" si="11"/>
        <v>Jalas</v>
      </c>
      <c r="D128" s="2"/>
      <c r="E128" s="4">
        <v>0</v>
      </c>
      <c r="F128" s="2"/>
    </row>
    <row r="129" spans="1:6" x14ac:dyDescent="0.25">
      <c r="A129" t="str">
        <f t="shared" si="13"/>
        <v>10003603</v>
      </c>
      <c r="B129" t="str">
        <f>"AV!Berufshalbschuhe O2 ""5222"" TOUR GEOX - JALAS® (Größe: 45)"</f>
        <v>AV!Berufshalbschuhe O2 "5222" TOUR GEOX - JALAS® (Größe: 45)</v>
      </c>
      <c r="C129" t="str">
        <f t="shared" si="11"/>
        <v>Jalas</v>
      </c>
      <c r="D129" s="2"/>
      <c r="E129" s="4">
        <v>0</v>
      </c>
      <c r="F129" s="2"/>
    </row>
    <row r="130" spans="1:6" x14ac:dyDescent="0.25">
      <c r="A130" t="str">
        <f t="shared" si="13"/>
        <v>10003603</v>
      </c>
      <c r="B130" t="str">
        <f>"AV!Berufshalbschuhe O2 ""5222"" TOUR GEOX - JALAS® (Größe: 46)"</f>
        <v>AV!Berufshalbschuhe O2 "5222" TOUR GEOX - JALAS® (Größe: 46)</v>
      </c>
      <c r="C130" t="str">
        <f t="shared" ref="C130:C161" si="14">"Jalas"</f>
        <v>Jalas</v>
      </c>
      <c r="D130" s="2"/>
      <c r="E130" s="4">
        <v>0</v>
      </c>
      <c r="F130" s="2"/>
    </row>
    <row r="131" spans="1:6" x14ac:dyDescent="0.25">
      <c r="A131" t="str">
        <f t="shared" si="13"/>
        <v>10003603</v>
      </c>
      <c r="B131" t="str">
        <f>"AV!Berufshalbschuhe O2 ""5222"" TOUR GEOX - JALAS® (Größe: 47)"</f>
        <v>AV!Berufshalbschuhe O2 "5222" TOUR GEOX - JALAS® (Größe: 47)</v>
      </c>
      <c r="C131" t="str">
        <f t="shared" si="14"/>
        <v>Jalas</v>
      </c>
      <c r="D131" s="2"/>
      <c r="E131" s="4">
        <v>0</v>
      </c>
      <c r="F131" s="2"/>
    </row>
    <row r="132" spans="1:6" x14ac:dyDescent="0.25">
      <c r="A132" t="str">
        <f t="shared" ref="A132:A144" si="15">"10003605"</f>
        <v>10003605</v>
      </c>
      <c r="B132" t="str">
        <f>"AV! Berufshalbschuhe O2 ""5282""  RESPIRO - JALAS®"</f>
        <v>AV! Berufshalbschuhe O2 "5282"  RESPIRO - JALAS®</v>
      </c>
      <c r="C132" t="str">
        <f t="shared" si="14"/>
        <v>Jalas</v>
      </c>
      <c r="D132" s="2"/>
      <c r="E132" s="4">
        <v>0</v>
      </c>
      <c r="F132" s="2"/>
    </row>
    <row r="133" spans="1:6" x14ac:dyDescent="0.25">
      <c r="A133" t="str">
        <f t="shared" si="15"/>
        <v>10003605</v>
      </c>
      <c r="B133" t="str">
        <f>"AV! Berufshalbschuhe O2 ""5282""  RESPIRO - JALAS® (Größe: 36)"</f>
        <v>AV! Berufshalbschuhe O2 "5282"  RESPIRO - JALAS® (Größe: 36)</v>
      </c>
      <c r="C133" t="str">
        <f t="shared" si="14"/>
        <v>Jalas</v>
      </c>
      <c r="D133" s="2"/>
      <c r="E133" s="4">
        <v>38</v>
      </c>
      <c r="F133" s="2"/>
    </row>
    <row r="134" spans="1:6" x14ac:dyDescent="0.25">
      <c r="A134" t="str">
        <f t="shared" si="15"/>
        <v>10003605</v>
      </c>
      <c r="B134" t="str">
        <f>"AV! Berufshalbschuhe O2 ""5282""  RESPIRO - JALAS® (Größe: 37)"</f>
        <v>AV! Berufshalbschuhe O2 "5282"  RESPIRO - JALAS® (Größe: 37)</v>
      </c>
      <c r="C134" t="str">
        <f t="shared" si="14"/>
        <v>Jalas</v>
      </c>
      <c r="D134" s="2"/>
      <c r="E134" s="4">
        <v>34</v>
      </c>
      <c r="F134" s="2"/>
    </row>
    <row r="135" spans="1:6" x14ac:dyDescent="0.25">
      <c r="A135" t="str">
        <f t="shared" si="15"/>
        <v>10003605</v>
      </c>
      <c r="B135" t="str">
        <f>"AV! Berufshalbschuhe O2 ""5282""  RESPIRO - JALAS® (Größe: 38)"</f>
        <v>AV! Berufshalbschuhe O2 "5282"  RESPIRO - JALAS® (Größe: 38)</v>
      </c>
      <c r="C135" t="str">
        <f t="shared" si="14"/>
        <v>Jalas</v>
      </c>
      <c r="D135" s="2"/>
      <c r="E135" s="4">
        <v>74</v>
      </c>
      <c r="F135" s="2"/>
    </row>
    <row r="136" spans="1:6" x14ac:dyDescent="0.25">
      <c r="A136" t="str">
        <f t="shared" si="15"/>
        <v>10003605</v>
      </c>
      <c r="B136" t="str">
        <f>"AV! Berufshalbschuhe O2 ""5282""  RESPIRO - JALAS® (Größe: 39)"</f>
        <v>AV! Berufshalbschuhe O2 "5282"  RESPIRO - JALAS® (Größe: 39)</v>
      </c>
      <c r="C136" t="str">
        <f t="shared" si="14"/>
        <v>Jalas</v>
      </c>
      <c r="D136" s="2"/>
      <c r="E136" s="4">
        <v>32</v>
      </c>
      <c r="F136" s="2"/>
    </row>
    <row r="137" spans="1:6" x14ac:dyDescent="0.25">
      <c r="A137" t="str">
        <f t="shared" si="15"/>
        <v>10003605</v>
      </c>
      <c r="B137" t="str">
        <f>"AV! Berufshalbschuhe O2 ""5282""  RESPIRO - JALAS® (Größe: 40)"</f>
        <v>AV! Berufshalbschuhe O2 "5282"  RESPIRO - JALAS® (Größe: 40)</v>
      </c>
      <c r="C137" t="str">
        <f t="shared" si="14"/>
        <v>Jalas</v>
      </c>
      <c r="D137" s="2"/>
      <c r="E137" s="4">
        <v>30</v>
      </c>
      <c r="F137" s="2"/>
    </row>
    <row r="138" spans="1:6" x14ac:dyDescent="0.25">
      <c r="A138" t="str">
        <f t="shared" si="15"/>
        <v>10003605</v>
      </c>
      <c r="B138" t="str">
        <f>"AV! Berufshalbschuhe O2 ""5282""  RESPIRO - JALAS® (Größe: 41)"</f>
        <v>AV! Berufshalbschuhe O2 "5282"  RESPIRO - JALAS® (Größe: 41)</v>
      </c>
      <c r="C138" t="str">
        <f t="shared" si="14"/>
        <v>Jalas</v>
      </c>
      <c r="D138" s="2"/>
      <c r="E138" s="4">
        <v>0</v>
      </c>
      <c r="F138" s="2"/>
    </row>
    <row r="139" spans="1:6" x14ac:dyDescent="0.25">
      <c r="A139" t="str">
        <f t="shared" si="15"/>
        <v>10003605</v>
      </c>
      <c r="B139" t="str">
        <f>"AV! Berufshalbschuhe O2 ""5282""  RESPIRO - JALAS® (Größe: 42)"</f>
        <v>AV! Berufshalbschuhe O2 "5282"  RESPIRO - JALAS® (Größe: 42)</v>
      </c>
      <c r="C139" t="str">
        <f t="shared" si="14"/>
        <v>Jalas</v>
      </c>
      <c r="D139" s="2"/>
      <c r="E139" s="4">
        <v>0</v>
      </c>
      <c r="F139" s="2"/>
    </row>
    <row r="140" spans="1:6" x14ac:dyDescent="0.25">
      <c r="A140" t="str">
        <f t="shared" si="15"/>
        <v>10003605</v>
      </c>
      <c r="B140" t="str">
        <f>"AV! Berufshalbschuhe O2 ""5282""  RESPIRO - JALAS® (Größe: 43)"</f>
        <v>AV! Berufshalbschuhe O2 "5282"  RESPIRO - JALAS® (Größe: 43)</v>
      </c>
      <c r="C140" t="str">
        <f t="shared" si="14"/>
        <v>Jalas</v>
      </c>
      <c r="D140" s="2"/>
      <c r="E140" s="4">
        <v>0</v>
      </c>
      <c r="F140" s="2"/>
    </row>
    <row r="141" spans="1:6" x14ac:dyDescent="0.25">
      <c r="A141" t="str">
        <f t="shared" si="15"/>
        <v>10003605</v>
      </c>
      <c r="B141" t="str">
        <f>"AV! Berufshalbschuhe O2 ""5282""  RESPIRO - JALAS® (Größe: 44)"</f>
        <v>AV! Berufshalbschuhe O2 "5282"  RESPIRO - JALAS® (Größe: 44)</v>
      </c>
      <c r="C141" t="str">
        <f t="shared" si="14"/>
        <v>Jalas</v>
      </c>
      <c r="D141" s="2"/>
      <c r="E141" s="4">
        <v>0</v>
      </c>
      <c r="F141" s="2"/>
    </row>
    <row r="142" spans="1:6" x14ac:dyDescent="0.25">
      <c r="A142" t="str">
        <f t="shared" si="15"/>
        <v>10003605</v>
      </c>
      <c r="B142" t="str">
        <f>"AV! Berufshalbschuhe O2 ""5282""  RESPIRO - JALAS® (Größe: 45)"</f>
        <v>AV! Berufshalbschuhe O2 "5282"  RESPIRO - JALAS® (Größe: 45)</v>
      </c>
      <c r="C142" t="str">
        <f t="shared" si="14"/>
        <v>Jalas</v>
      </c>
      <c r="D142" s="2"/>
      <c r="E142" s="4">
        <v>0</v>
      </c>
      <c r="F142" s="2"/>
    </row>
    <row r="143" spans="1:6" x14ac:dyDescent="0.25">
      <c r="A143" t="str">
        <f t="shared" si="15"/>
        <v>10003605</v>
      </c>
      <c r="B143" t="str">
        <f>"AV! Berufshalbschuhe O2 ""5282""  RESPIRO - JALAS® (Größe: 46)"</f>
        <v>AV! Berufshalbschuhe O2 "5282"  RESPIRO - JALAS® (Größe: 46)</v>
      </c>
      <c r="C143" t="str">
        <f t="shared" si="14"/>
        <v>Jalas</v>
      </c>
      <c r="D143" s="2"/>
      <c r="E143" s="4">
        <v>0</v>
      </c>
      <c r="F143" s="2"/>
    </row>
    <row r="144" spans="1:6" x14ac:dyDescent="0.25">
      <c r="A144" t="str">
        <f t="shared" si="15"/>
        <v>10003605</v>
      </c>
      <c r="B144" t="str">
        <f>"AV! Berufshalbschuhe O2 ""5282""  RESPIRO - JALAS® (Größe: 47)"</f>
        <v>AV! Berufshalbschuhe O2 "5282"  RESPIRO - JALAS® (Größe: 47)</v>
      </c>
      <c r="C144" t="str">
        <f t="shared" si="14"/>
        <v>Jalas</v>
      </c>
      <c r="D144" s="2"/>
      <c r="E144" s="4">
        <v>2</v>
      </c>
      <c r="F144" s="2"/>
    </row>
    <row r="145" spans="1:6" x14ac:dyDescent="0.25">
      <c r="A145" t="str">
        <f t="shared" ref="A145:A157" si="16">"10003675"</f>
        <v>10003675</v>
      </c>
      <c r="B145" t="str">
        <f>"AV! Halbschuhe S2 3700A ULTIMA RESPIRO JALAS®"</f>
        <v>AV! Halbschuhe S2 3700A ULTIMA RESPIRO JALAS®</v>
      </c>
      <c r="C145" t="str">
        <f t="shared" si="14"/>
        <v>Jalas</v>
      </c>
      <c r="D145" s="2"/>
      <c r="E145" s="4">
        <v>0</v>
      </c>
      <c r="F145" s="2"/>
    </row>
    <row r="146" spans="1:6" x14ac:dyDescent="0.25">
      <c r="A146" t="str">
        <f t="shared" si="16"/>
        <v>10003675</v>
      </c>
      <c r="B146" t="str">
        <f>"AV! Halbschuhe S2 3700A ULTIMA RESPIRO JALAS® (Größe: 36)"</f>
        <v>AV! Halbschuhe S2 3700A ULTIMA RESPIRO JALAS® (Größe: 36)</v>
      </c>
      <c r="C146" t="str">
        <f t="shared" si="14"/>
        <v>Jalas</v>
      </c>
      <c r="D146" s="2"/>
      <c r="E146" s="4">
        <v>76</v>
      </c>
      <c r="F146" s="2"/>
    </row>
    <row r="147" spans="1:6" x14ac:dyDescent="0.25">
      <c r="A147" t="str">
        <f t="shared" si="16"/>
        <v>10003675</v>
      </c>
      <c r="B147" t="str">
        <f>"AV! Halbschuhe S2 3700A ULTIMA RESPIRO JALAS® (Größe: 37)"</f>
        <v>AV! Halbschuhe S2 3700A ULTIMA RESPIRO JALAS® (Größe: 37)</v>
      </c>
      <c r="C147" t="str">
        <f t="shared" si="14"/>
        <v>Jalas</v>
      </c>
      <c r="D147" s="2"/>
      <c r="E147" s="4">
        <v>59</v>
      </c>
      <c r="F147" s="2"/>
    </row>
    <row r="148" spans="1:6" x14ac:dyDescent="0.25">
      <c r="A148" t="str">
        <f t="shared" si="16"/>
        <v>10003675</v>
      </c>
      <c r="B148" t="str">
        <f>"AV! Halbschuhe S2 3700A ULTIMA RESPIRO JALAS® (Größe: 38)"</f>
        <v>AV! Halbschuhe S2 3700A ULTIMA RESPIRO JALAS® (Größe: 38)</v>
      </c>
      <c r="C148" t="str">
        <f t="shared" si="14"/>
        <v>Jalas</v>
      </c>
      <c r="D148" s="2"/>
      <c r="E148" s="4">
        <v>23</v>
      </c>
      <c r="F148" s="2"/>
    </row>
    <row r="149" spans="1:6" x14ac:dyDescent="0.25">
      <c r="A149" t="str">
        <f t="shared" si="16"/>
        <v>10003675</v>
      </c>
      <c r="B149" t="str">
        <f>"AV! Halbschuhe S2 3700A ULTIMA RESPIRO JALAS® (Größe: 39)"</f>
        <v>AV! Halbschuhe S2 3700A ULTIMA RESPIRO JALAS® (Größe: 39)</v>
      </c>
      <c r="C149" t="str">
        <f t="shared" si="14"/>
        <v>Jalas</v>
      </c>
      <c r="D149" s="2"/>
      <c r="E149" s="4">
        <v>8</v>
      </c>
      <c r="F149" s="2"/>
    </row>
    <row r="150" spans="1:6" x14ac:dyDescent="0.25">
      <c r="A150" t="str">
        <f t="shared" si="16"/>
        <v>10003675</v>
      </c>
      <c r="B150" t="str">
        <f>"AV! Halbschuhe S2 3700A ULTIMA RESPIRO JALAS® (Größe: 40)"</f>
        <v>AV! Halbschuhe S2 3700A ULTIMA RESPIRO JALAS® (Größe: 40)</v>
      </c>
      <c r="C150" t="str">
        <f t="shared" si="14"/>
        <v>Jalas</v>
      </c>
      <c r="D150" s="2"/>
      <c r="E150" s="4">
        <v>0</v>
      </c>
      <c r="F150" s="2"/>
    </row>
    <row r="151" spans="1:6" x14ac:dyDescent="0.25">
      <c r="A151" t="str">
        <f t="shared" si="16"/>
        <v>10003675</v>
      </c>
      <c r="B151" t="str">
        <f>"AV! Halbschuhe S2 3700A ULTIMA RESPIRO JALAS® (Größe: 41)"</f>
        <v>AV! Halbschuhe S2 3700A ULTIMA RESPIRO JALAS® (Größe: 41)</v>
      </c>
      <c r="C151" t="str">
        <f t="shared" si="14"/>
        <v>Jalas</v>
      </c>
      <c r="D151" s="2"/>
      <c r="E151" s="4">
        <v>0</v>
      </c>
      <c r="F151" s="2"/>
    </row>
    <row r="152" spans="1:6" x14ac:dyDescent="0.25">
      <c r="A152" t="str">
        <f t="shared" si="16"/>
        <v>10003675</v>
      </c>
      <c r="B152" t="str">
        <f>"AV! Halbschuhe S2 3700A ULTIMA RESPIRO JALAS® (Größe: 42)"</f>
        <v>AV! Halbschuhe S2 3700A ULTIMA RESPIRO JALAS® (Größe: 42)</v>
      </c>
      <c r="C152" t="str">
        <f t="shared" si="14"/>
        <v>Jalas</v>
      </c>
      <c r="D152" s="2"/>
      <c r="E152" s="4">
        <v>0</v>
      </c>
      <c r="F152" s="2"/>
    </row>
    <row r="153" spans="1:6" x14ac:dyDescent="0.25">
      <c r="A153" t="str">
        <f t="shared" si="16"/>
        <v>10003675</v>
      </c>
      <c r="B153" t="str">
        <f>"AV! Halbschuhe S2 3700A ULTIMA RESPIRO JALAS® (Größe: 43)"</f>
        <v>AV! Halbschuhe S2 3700A ULTIMA RESPIRO JALAS® (Größe: 43)</v>
      </c>
      <c r="C153" t="str">
        <f t="shared" si="14"/>
        <v>Jalas</v>
      </c>
      <c r="D153" s="2"/>
      <c r="E153" s="4">
        <v>0</v>
      </c>
      <c r="F153" s="2"/>
    </row>
    <row r="154" spans="1:6" x14ac:dyDescent="0.25">
      <c r="A154" t="str">
        <f t="shared" si="16"/>
        <v>10003675</v>
      </c>
      <c r="B154" t="str">
        <f>"AV! Halbschuhe S2 3700A ULTIMA RESPIRO JALAS® (Größe: 44)"</f>
        <v>AV! Halbschuhe S2 3700A ULTIMA RESPIRO JALAS® (Größe: 44)</v>
      </c>
      <c r="C154" t="str">
        <f t="shared" si="14"/>
        <v>Jalas</v>
      </c>
      <c r="D154" s="2"/>
      <c r="E154" s="4">
        <v>0</v>
      </c>
      <c r="F154" s="2"/>
    </row>
    <row r="155" spans="1:6" x14ac:dyDescent="0.25">
      <c r="A155" t="str">
        <f t="shared" si="16"/>
        <v>10003675</v>
      </c>
      <c r="B155" t="str">
        <f>"AV! Halbschuhe S2 3700A ULTIMA RESPIRO JALAS® (Größe: 45)"</f>
        <v>AV! Halbschuhe S2 3700A ULTIMA RESPIRO JALAS® (Größe: 45)</v>
      </c>
      <c r="C155" t="str">
        <f t="shared" si="14"/>
        <v>Jalas</v>
      </c>
      <c r="D155" s="2"/>
      <c r="E155" s="4">
        <v>0</v>
      </c>
      <c r="F155" s="2"/>
    </row>
    <row r="156" spans="1:6" x14ac:dyDescent="0.25">
      <c r="A156" t="str">
        <f t="shared" si="16"/>
        <v>10003675</v>
      </c>
      <c r="B156" t="str">
        <f>"AV! Halbschuhe S2 3700A ULTIMA RESPIRO JALAS® (Größe: 46)"</f>
        <v>AV! Halbschuhe S2 3700A ULTIMA RESPIRO JALAS® (Größe: 46)</v>
      </c>
      <c r="C156" t="str">
        <f t="shared" si="14"/>
        <v>Jalas</v>
      </c>
      <c r="D156" s="2"/>
      <c r="E156" s="4">
        <v>0</v>
      </c>
      <c r="F156" s="2"/>
    </row>
    <row r="157" spans="1:6" x14ac:dyDescent="0.25">
      <c r="A157" t="str">
        <f t="shared" si="16"/>
        <v>10003675</v>
      </c>
      <c r="B157" t="str">
        <f>"AV! Halbschuhe S2 3700A ULTIMA RESPIRO JALAS® (Größe: 47)"</f>
        <v>AV! Halbschuhe S2 3700A ULTIMA RESPIRO JALAS® (Größe: 47)</v>
      </c>
      <c r="C157" t="str">
        <f t="shared" si="14"/>
        <v>Jalas</v>
      </c>
      <c r="D157" s="2"/>
      <c r="E157" s="4">
        <v>21</v>
      </c>
      <c r="F157" s="2"/>
    </row>
    <row r="158" spans="1:6" x14ac:dyDescent="0.25">
      <c r="A158" t="str">
        <f t="shared" ref="A158:A170" si="17">"10003676"</f>
        <v>10003676</v>
      </c>
      <c r="B158" t="str">
        <f>"AV! Sicherheitssandalen S1 MONZA 3800A GEOX JALAS®"</f>
        <v>AV! Sicherheitssandalen S1 MONZA 3800A GEOX JALAS®</v>
      </c>
      <c r="C158" t="str">
        <f t="shared" si="14"/>
        <v>Jalas</v>
      </c>
      <c r="D158" s="2"/>
      <c r="E158" s="4">
        <v>0</v>
      </c>
      <c r="F158" s="2"/>
    </row>
    <row r="159" spans="1:6" x14ac:dyDescent="0.25">
      <c r="A159" t="str">
        <f t="shared" si="17"/>
        <v>10003676</v>
      </c>
      <c r="B159" t="str">
        <f>"AV! Sicherheitssandalen S1 MONZA 3800A GEOX JALAS® (Größe: 36)"</f>
        <v>AV! Sicherheitssandalen S1 MONZA 3800A GEOX JALAS® (Größe: 36)</v>
      </c>
      <c r="C159" t="str">
        <f t="shared" si="14"/>
        <v>Jalas</v>
      </c>
      <c r="D159" s="2"/>
      <c r="E159" s="4">
        <v>25</v>
      </c>
      <c r="F159" s="2"/>
    </row>
    <row r="160" spans="1:6" x14ac:dyDescent="0.25">
      <c r="A160" t="str">
        <f t="shared" si="17"/>
        <v>10003676</v>
      </c>
      <c r="B160" t="str">
        <f>"AV! Sicherheitssandalen S1 MONZA 3800A GEOX JALAS® (Größe: 37)"</f>
        <v>AV! Sicherheitssandalen S1 MONZA 3800A GEOX JALAS® (Größe: 37)</v>
      </c>
      <c r="C160" t="str">
        <f t="shared" si="14"/>
        <v>Jalas</v>
      </c>
      <c r="D160" s="2"/>
      <c r="E160" s="4">
        <v>83</v>
      </c>
      <c r="F160" s="2"/>
    </row>
    <row r="161" spans="1:6" x14ac:dyDescent="0.25">
      <c r="A161" t="str">
        <f t="shared" si="17"/>
        <v>10003676</v>
      </c>
      <c r="B161" t="str">
        <f>"AV! Sicherheitssandalen S1 MONZA 3800A GEOX JALAS® (Größe: 38)"</f>
        <v>AV! Sicherheitssandalen S1 MONZA 3800A GEOX JALAS® (Größe: 38)</v>
      </c>
      <c r="C161" t="str">
        <f t="shared" si="14"/>
        <v>Jalas</v>
      </c>
      <c r="D161" s="2"/>
      <c r="E161" s="4">
        <v>76</v>
      </c>
      <c r="F161" s="2"/>
    </row>
    <row r="162" spans="1:6" x14ac:dyDescent="0.25">
      <c r="A162" t="str">
        <f t="shared" si="17"/>
        <v>10003676</v>
      </c>
      <c r="B162" t="str">
        <f>"AV! Sicherheitssandalen S1 MONZA 3800A GEOX JALAS® (Größe: 39)"</f>
        <v>AV! Sicherheitssandalen S1 MONZA 3800A GEOX JALAS® (Größe: 39)</v>
      </c>
      <c r="C162" t="str">
        <f t="shared" ref="C162:C194" si="18">"Jalas"</f>
        <v>Jalas</v>
      </c>
      <c r="D162" s="2"/>
      <c r="E162" s="4">
        <v>46</v>
      </c>
      <c r="F162" s="2"/>
    </row>
    <row r="163" spans="1:6" x14ac:dyDescent="0.25">
      <c r="A163" t="str">
        <f t="shared" si="17"/>
        <v>10003676</v>
      </c>
      <c r="B163" t="str">
        <f>"AV! Sicherheitssandalen S1 MONZA 3800A GEOX JALAS® (Größe: 40)"</f>
        <v>AV! Sicherheitssandalen S1 MONZA 3800A GEOX JALAS® (Größe: 40)</v>
      </c>
      <c r="C163" t="str">
        <f t="shared" si="18"/>
        <v>Jalas</v>
      </c>
      <c r="D163" s="2"/>
      <c r="E163" s="4">
        <v>33</v>
      </c>
      <c r="F163" s="2"/>
    </row>
    <row r="164" spans="1:6" x14ac:dyDescent="0.25">
      <c r="A164" t="str">
        <f t="shared" si="17"/>
        <v>10003676</v>
      </c>
      <c r="B164" t="str">
        <f>"AV! Sicherheitssandalen S1 MONZA 3800A GEOX JALAS® (Größe: 41)"</f>
        <v>AV! Sicherheitssandalen S1 MONZA 3800A GEOX JALAS® (Größe: 41)</v>
      </c>
      <c r="C164" t="str">
        <f t="shared" si="18"/>
        <v>Jalas</v>
      </c>
      <c r="D164" s="2"/>
      <c r="E164" s="4">
        <v>27</v>
      </c>
      <c r="F164" s="2"/>
    </row>
    <row r="165" spans="1:6" x14ac:dyDescent="0.25">
      <c r="A165" t="str">
        <f t="shared" si="17"/>
        <v>10003676</v>
      </c>
      <c r="B165" t="str">
        <f>"AV! Sicherheitssandalen S1 MONZA 3800A GEOX JALAS® (Größe: 42)"</f>
        <v>AV! Sicherheitssandalen S1 MONZA 3800A GEOX JALAS® (Größe: 42)</v>
      </c>
      <c r="C165" t="str">
        <f t="shared" si="18"/>
        <v>Jalas</v>
      </c>
      <c r="D165" s="2"/>
      <c r="E165" s="4">
        <v>0</v>
      </c>
      <c r="F165" s="2"/>
    </row>
    <row r="166" spans="1:6" x14ac:dyDescent="0.25">
      <c r="A166" t="str">
        <f t="shared" si="17"/>
        <v>10003676</v>
      </c>
      <c r="B166" t="str">
        <f>"AV! Sicherheitssandalen S1 MONZA 3800A GEOX JALAS® (Größe: 43)"</f>
        <v>AV! Sicherheitssandalen S1 MONZA 3800A GEOX JALAS® (Größe: 43)</v>
      </c>
      <c r="C166" t="str">
        <f t="shared" si="18"/>
        <v>Jalas</v>
      </c>
      <c r="D166" s="2"/>
      <c r="E166" s="4">
        <v>0</v>
      </c>
      <c r="F166" s="2"/>
    </row>
    <row r="167" spans="1:6" x14ac:dyDescent="0.25">
      <c r="A167" t="str">
        <f t="shared" si="17"/>
        <v>10003676</v>
      </c>
      <c r="B167" t="str">
        <f>"AV! Sicherheitssandalen S1 MONZA 3800A GEOX JALAS® (Größe: 44)"</f>
        <v>AV! Sicherheitssandalen S1 MONZA 3800A GEOX JALAS® (Größe: 44)</v>
      </c>
      <c r="C167" t="str">
        <f t="shared" si="18"/>
        <v>Jalas</v>
      </c>
      <c r="D167" s="2"/>
      <c r="E167" s="4">
        <v>0</v>
      </c>
      <c r="F167" s="2"/>
    </row>
    <row r="168" spans="1:6" x14ac:dyDescent="0.25">
      <c r="A168" t="str">
        <f t="shared" si="17"/>
        <v>10003676</v>
      </c>
      <c r="B168" t="str">
        <f>"AV! Sicherheitssandalen S1 MONZA 3800A GEOX JALAS® (Größe: 45)"</f>
        <v>AV! Sicherheitssandalen S1 MONZA 3800A GEOX JALAS® (Größe: 45)</v>
      </c>
      <c r="C168" t="str">
        <f t="shared" si="18"/>
        <v>Jalas</v>
      </c>
      <c r="D168" s="2"/>
      <c r="E168" s="4">
        <v>0</v>
      </c>
      <c r="F168" s="2"/>
    </row>
    <row r="169" spans="1:6" x14ac:dyDescent="0.25">
      <c r="A169" t="str">
        <f t="shared" si="17"/>
        <v>10003676</v>
      </c>
      <c r="B169" t="str">
        <f>"AV! Sicherheitssandalen S1 MONZA 3800A GEOX JALAS® (Größe: 46)"</f>
        <v>AV! Sicherheitssandalen S1 MONZA 3800A GEOX JALAS® (Größe: 46)</v>
      </c>
      <c r="C169" t="str">
        <f t="shared" si="18"/>
        <v>Jalas</v>
      </c>
      <c r="D169" s="2"/>
      <c r="E169" s="4">
        <v>0</v>
      </c>
      <c r="F169" s="2"/>
    </row>
    <row r="170" spans="1:6" x14ac:dyDescent="0.25">
      <c r="A170" t="str">
        <f t="shared" si="17"/>
        <v>10003676</v>
      </c>
      <c r="B170" t="str">
        <f>"AV! Sicherheitssandalen S1 MONZA 3800A GEOX JALAS® (Größe: 47)"</f>
        <v>AV! Sicherheitssandalen S1 MONZA 3800A GEOX JALAS® (Größe: 47)</v>
      </c>
      <c r="C170" t="str">
        <f t="shared" si="18"/>
        <v>Jalas</v>
      </c>
      <c r="D170" s="2"/>
      <c r="E170" s="4">
        <v>0</v>
      </c>
      <c r="F170" s="2"/>
    </row>
    <row r="171" spans="1:6" x14ac:dyDescent="0.25">
      <c r="A171" t="str">
        <f t="shared" ref="A171:A183" si="19">"10003677"</f>
        <v>10003677</v>
      </c>
      <c r="B171" t="str">
        <f>"AV!Sicherheitssandalen S1 ""3820A""CHALLENGER JALAS®"</f>
        <v>AV!Sicherheitssandalen S1 "3820A"CHALLENGER JALAS®</v>
      </c>
      <c r="C171" t="str">
        <f t="shared" si="18"/>
        <v>Jalas</v>
      </c>
      <c r="D171" s="2"/>
      <c r="E171" s="4">
        <v>0</v>
      </c>
      <c r="F171" s="2"/>
    </row>
    <row r="172" spans="1:6" x14ac:dyDescent="0.25">
      <c r="A172" t="str">
        <f t="shared" si="19"/>
        <v>10003677</v>
      </c>
      <c r="B172" t="str">
        <f>"AV!Sicherheitssandalen S1 ""3820A""CHALLENGER JALAS® (Größe: 36)"</f>
        <v>AV!Sicherheitssandalen S1 "3820A"CHALLENGER JALAS® (Größe: 36)</v>
      </c>
      <c r="C172" t="str">
        <f t="shared" si="18"/>
        <v>Jalas</v>
      </c>
      <c r="D172" s="2"/>
      <c r="E172" s="4">
        <v>55</v>
      </c>
      <c r="F172" s="2"/>
    </row>
    <row r="173" spans="1:6" x14ac:dyDescent="0.25">
      <c r="A173" t="str">
        <f t="shared" si="19"/>
        <v>10003677</v>
      </c>
      <c r="B173" t="str">
        <f>"AV!Sicherheitssandalen S1 ""3820A""CHALLENGER JALAS® (Größe: 37)"</f>
        <v>AV!Sicherheitssandalen S1 "3820A"CHALLENGER JALAS® (Größe: 37)</v>
      </c>
      <c r="C173" t="str">
        <f t="shared" si="18"/>
        <v>Jalas</v>
      </c>
      <c r="D173" s="2"/>
      <c r="E173" s="4">
        <v>49</v>
      </c>
      <c r="F173" s="2"/>
    </row>
    <row r="174" spans="1:6" x14ac:dyDescent="0.25">
      <c r="A174" t="str">
        <f t="shared" si="19"/>
        <v>10003677</v>
      </c>
      <c r="B174" t="str">
        <f>"AV!Sicherheitssandalen S1 ""3820A""CHALLENGER JALAS® (Größe: 38)"</f>
        <v>AV!Sicherheitssandalen S1 "3820A"CHALLENGER JALAS® (Größe: 38)</v>
      </c>
      <c r="C174" t="str">
        <f t="shared" si="18"/>
        <v>Jalas</v>
      </c>
      <c r="D174" s="2"/>
      <c r="E174" s="4">
        <v>134</v>
      </c>
      <c r="F174" s="2"/>
    </row>
    <row r="175" spans="1:6" x14ac:dyDescent="0.25">
      <c r="A175" t="str">
        <f t="shared" si="19"/>
        <v>10003677</v>
      </c>
      <c r="B175" t="str">
        <f>"AV!Sicherheitssandalen S1 ""3820A""CHALLENGER JALAS® (Größe: 39)"</f>
        <v>AV!Sicherheitssandalen S1 "3820A"CHALLENGER JALAS® (Größe: 39)</v>
      </c>
      <c r="C175" t="str">
        <f t="shared" si="18"/>
        <v>Jalas</v>
      </c>
      <c r="D175" s="2"/>
      <c r="E175" s="4">
        <v>135</v>
      </c>
      <c r="F175" s="2"/>
    </row>
    <row r="176" spans="1:6" x14ac:dyDescent="0.25">
      <c r="A176" t="str">
        <f t="shared" si="19"/>
        <v>10003677</v>
      </c>
      <c r="B176" t="str">
        <f>"AV!Sicherheitssandalen S1 ""3820A""CHALLENGER JALAS® (Größe: 40)"</f>
        <v>AV!Sicherheitssandalen S1 "3820A"CHALLENGER JALAS® (Größe: 40)</v>
      </c>
      <c r="C176" t="str">
        <f t="shared" si="18"/>
        <v>Jalas</v>
      </c>
      <c r="D176" s="2"/>
      <c r="E176" s="4">
        <v>189</v>
      </c>
      <c r="F176" s="2"/>
    </row>
    <row r="177" spans="1:6" x14ac:dyDescent="0.25">
      <c r="A177" t="str">
        <f t="shared" si="19"/>
        <v>10003677</v>
      </c>
      <c r="B177" t="str">
        <f>"AV!Sicherheitssandalen S1 ""3820A""CHALLENGER JALAS® (Größe: 41)"</f>
        <v>AV!Sicherheitssandalen S1 "3820A"CHALLENGER JALAS® (Größe: 41)</v>
      </c>
      <c r="C177" t="str">
        <f t="shared" si="18"/>
        <v>Jalas</v>
      </c>
      <c r="D177" s="2"/>
      <c r="E177" s="4">
        <v>0</v>
      </c>
      <c r="F177" s="2"/>
    </row>
    <row r="178" spans="1:6" x14ac:dyDescent="0.25">
      <c r="A178" t="str">
        <f t="shared" si="19"/>
        <v>10003677</v>
      </c>
      <c r="B178" t="str">
        <f>"AV!Sicherheitssandalen S1 ""3820A""CHALLENGER JALAS® (Größe: 42)"</f>
        <v>AV!Sicherheitssandalen S1 "3820A"CHALLENGER JALAS® (Größe: 42)</v>
      </c>
      <c r="C178" t="str">
        <f t="shared" si="18"/>
        <v>Jalas</v>
      </c>
      <c r="D178" s="2"/>
      <c r="E178" s="4">
        <v>0</v>
      </c>
      <c r="F178" s="2"/>
    </row>
    <row r="179" spans="1:6" x14ac:dyDescent="0.25">
      <c r="A179" t="str">
        <f t="shared" si="19"/>
        <v>10003677</v>
      </c>
      <c r="B179" t="str">
        <f>"AV!Sicherheitssandalen S1 ""3820A""CHALLENGER JALAS® (Größe: 43)"</f>
        <v>AV!Sicherheitssandalen S1 "3820A"CHALLENGER JALAS® (Größe: 43)</v>
      </c>
      <c r="C179" t="str">
        <f t="shared" si="18"/>
        <v>Jalas</v>
      </c>
      <c r="D179" s="2"/>
      <c r="E179" s="4">
        <v>0</v>
      </c>
      <c r="F179" s="2"/>
    </row>
    <row r="180" spans="1:6" x14ac:dyDescent="0.25">
      <c r="A180" t="str">
        <f t="shared" si="19"/>
        <v>10003677</v>
      </c>
      <c r="B180" t="str">
        <f>"AV!Sicherheitssandalen S1 ""3820A""CHALLENGER JALAS® (Größe: 44)"</f>
        <v>AV!Sicherheitssandalen S1 "3820A"CHALLENGER JALAS® (Größe: 44)</v>
      </c>
      <c r="C180" t="str">
        <f t="shared" si="18"/>
        <v>Jalas</v>
      </c>
      <c r="D180" s="2"/>
      <c r="E180" s="4">
        <v>0</v>
      </c>
      <c r="F180" s="2"/>
    </row>
    <row r="181" spans="1:6" x14ac:dyDescent="0.25">
      <c r="A181" t="str">
        <f t="shared" si="19"/>
        <v>10003677</v>
      </c>
      <c r="B181" t="str">
        <f>"AV!Sicherheitssandalen S1 ""3820A""CHALLENGER JALAS® (Größe: 45)"</f>
        <v>AV!Sicherheitssandalen S1 "3820A"CHALLENGER JALAS® (Größe: 45)</v>
      </c>
      <c r="C181" t="str">
        <f t="shared" si="18"/>
        <v>Jalas</v>
      </c>
      <c r="D181" s="2"/>
      <c r="E181" s="4">
        <v>0</v>
      </c>
      <c r="F181" s="2"/>
    </row>
    <row r="182" spans="1:6" x14ac:dyDescent="0.25">
      <c r="A182" t="str">
        <f t="shared" si="19"/>
        <v>10003677</v>
      </c>
      <c r="B182" t="str">
        <f>"AV!Sicherheitssandalen S1 ""3820A""CHALLENGER JALAS® (Größe: 46)"</f>
        <v>AV!Sicherheitssandalen S1 "3820A"CHALLENGER JALAS® (Größe: 46)</v>
      </c>
      <c r="C182" t="str">
        <f t="shared" si="18"/>
        <v>Jalas</v>
      </c>
      <c r="D182" s="2"/>
      <c r="E182" s="4">
        <v>0</v>
      </c>
      <c r="F182" s="2"/>
    </row>
    <row r="183" spans="1:6" x14ac:dyDescent="0.25">
      <c r="A183" t="str">
        <f t="shared" si="19"/>
        <v>10003677</v>
      </c>
      <c r="B183" t="str">
        <f>"AV!Sicherheitssandalen S1 ""3820A""CHALLENGER JALAS® (Größe: 47)"</f>
        <v>AV!Sicherheitssandalen S1 "3820A"CHALLENGER JALAS® (Größe: 47)</v>
      </c>
      <c r="C183" t="str">
        <f t="shared" si="18"/>
        <v>Jalas</v>
      </c>
      <c r="D183" s="2"/>
      <c r="E183" s="4">
        <v>0</v>
      </c>
      <c r="F183" s="2"/>
    </row>
    <row r="184" spans="1:6" x14ac:dyDescent="0.25">
      <c r="A184" t="str">
        <f t="shared" ref="A184:A194" si="20">"10003678"</f>
        <v>10003678</v>
      </c>
      <c r="B184" t="str">
        <f>"AV! Sicherheitshochschuhe S2 ""3870S"" TREK C JALAS®"</f>
        <v>AV! Sicherheitshochschuhe S2 "3870S" TREK C JALAS®</v>
      </c>
      <c r="C184" t="str">
        <f t="shared" si="18"/>
        <v>Jalas</v>
      </c>
      <c r="D184" s="2"/>
      <c r="E184" s="4">
        <v>0</v>
      </c>
      <c r="F184" s="2"/>
    </row>
    <row r="185" spans="1:6" x14ac:dyDescent="0.25">
      <c r="A185" t="str">
        <f t="shared" si="20"/>
        <v>10003678</v>
      </c>
      <c r="B185" t="str">
        <f>"AV! Sicherheitshochschuhe S2 ""3870S"" TREK C JALAS® (Größe: 38)"</f>
        <v>AV! Sicherheitshochschuhe S2 "3870S" TREK C JALAS® (Größe: 38)</v>
      </c>
      <c r="C185" t="str">
        <f t="shared" si="18"/>
        <v>Jalas</v>
      </c>
      <c r="D185" s="2"/>
      <c r="E185" s="4">
        <v>18</v>
      </c>
      <c r="F185" s="2"/>
    </row>
    <row r="186" spans="1:6" x14ac:dyDescent="0.25">
      <c r="A186" t="str">
        <f t="shared" si="20"/>
        <v>10003678</v>
      </c>
      <c r="B186" t="str">
        <f>"AV! Sicherheitshochschuhe S2 ""3870S"" TREK C JALAS® (Größe: 39)"</f>
        <v>AV! Sicherheitshochschuhe S2 "3870S" TREK C JALAS® (Größe: 39)</v>
      </c>
      <c r="C186" t="str">
        <f t="shared" si="18"/>
        <v>Jalas</v>
      </c>
      <c r="D186" s="2"/>
      <c r="E186" s="4">
        <v>14</v>
      </c>
      <c r="F186" s="2"/>
    </row>
    <row r="187" spans="1:6" x14ac:dyDescent="0.25">
      <c r="A187" t="str">
        <f t="shared" si="20"/>
        <v>10003678</v>
      </c>
      <c r="B187" t="str">
        <f>"AV! Sicherheitshochschuhe S2 ""3870S"" TREK C JALAS® (Größe: 40)"</f>
        <v>AV! Sicherheitshochschuhe S2 "3870S" TREK C JALAS® (Größe: 40)</v>
      </c>
      <c r="C187" t="str">
        <f t="shared" si="18"/>
        <v>Jalas</v>
      </c>
      <c r="D187" s="2"/>
      <c r="E187" s="4">
        <v>41</v>
      </c>
      <c r="F187" s="2"/>
    </row>
    <row r="188" spans="1:6" x14ac:dyDescent="0.25">
      <c r="A188" t="str">
        <f t="shared" si="20"/>
        <v>10003678</v>
      </c>
      <c r="B188" t="str">
        <f>"AV! Sicherheitshochschuhe S2 ""3870S"" TREK C JALAS® (Größe: 41)"</f>
        <v>AV! Sicherheitshochschuhe S2 "3870S" TREK C JALAS® (Größe: 41)</v>
      </c>
      <c r="C188" t="str">
        <f t="shared" si="18"/>
        <v>Jalas</v>
      </c>
      <c r="D188" s="2"/>
      <c r="E188" s="4">
        <v>0</v>
      </c>
      <c r="F188" s="2"/>
    </row>
    <row r="189" spans="1:6" x14ac:dyDescent="0.25">
      <c r="A189" t="str">
        <f t="shared" si="20"/>
        <v>10003678</v>
      </c>
      <c r="B189" t="str">
        <f>"AV! Sicherheitshochschuhe S2 ""3870S"" TREK C JALAS® (Größe: 42)"</f>
        <v>AV! Sicherheitshochschuhe S2 "3870S" TREK C JALAS® (Größe: 42)</v>
      </c>
      <c r="C189" t="str">
        <f t="shared" si="18"/>
        <v>Jalas</v>
      </c>
      <c r="D189" s="2"/>
      <c r="E189" s="4">
        <v>0</v>
      </c>
      <c r="F189" s="2"/>
    </row>
    <row r="190" spans="1:6" x14ac:dyDescent="0.25">
      <c r="A190" t="str">
        <f t="shared" si="20"/>
        <v>10003678</v>
      </c>
      <c r="B190" t="str">
        <f>"AV! Sicherheitshochschuhe S2 ""3870S"" TREK C JALAS® (Größe: 43)"</f>
        <v>AV! Sicherheitshochschuhe S2 "3870S" TREK C JALAS® (Größe: 43)</v>
      </c>
      <c r="C190" t="str">
        <f t="shared" si="18"/>
        <v>Jalas</v>
      </c>
      <c r="D190" s="2"/>
      <c r="E190" s="4">
        <v>117</v>
      </c>
      <c r="F190" s="2"/>
    </row>
    <row r="191" spans="1:6" x14ac:dyDescent="0.25">
      <c r="A191" t="str">
        <f t="shared" si="20"/>
        <v>10003678</v>
      </c>
      <c r="B191" t="str">
        <f>"AV! Sicherheitshochschuhe S2 ""3870S"" TREK C JALAS® (Größe: 44)"</f>
        <v>AV! Sicherheitshochschuhe S2 "3870S" TREK C JALAS® (Größe: 44)</v>
      </c>
      <c r="C191" t="str">
        <f t="shared" si="18"/>
        <v>Jalas</v>
      </c>
      <c r="D191" s="2"/>
      <c r="E191" s="4">
        <v>11</v>
      </c>
      <c r="F191" s="2"/>
    </row>
    <row r="192" spans="1:6" x14ac:dyDescent="0.25">
      <c r="A192" t="str">
        <f t="shared" si="20"/>
        <v>10003678</v>
      </c>
      <c r="B192" t="str">
        <f>"AV! Sicherheitshochschuhe S2 ""3870S"" TREK C JALAS® (Größe: 45)"</f>
        <v>AV! Sicherheitshochschuhe S2 "3870S" TREK C JALAS® (Größe: 45)</v>
      </c>
      <c r="C192" t="str">
        <f t="shared" si="18"/>
        <v>Jalas</v>
      </c>
      <c r="D192" s="2"/>
      <c r="E192" s="4">
        <v>45</v>
      </c>
      <c r="F192" s="2"/>
    </row>
    <row r="193" spans="1:6" x14ac:dyDescent="0.25">
      <c r="A193" t="str">
        <f t="shared" si="20"/>
        <v>10003678</v>
      </c>
      <c r="B193" t="str">
        <f>"AV! Sicherheitshochschuhe S2 ""3870S"" TREK C JALAS® (Größe: 46)"</f>
        <v>AV! Sicherheitshochschuhe S2 "3870S" TREK C JALAS® (Größe: 46)</v>
      </c>
      <c r="C193" t="str">
        <f t="shared" si="18"/>
        <v>Jalas</v>
      </c>
      <c r="D193" s="2"/>
      <c r="E193" s="4">
        <v>26</v>
      </c>
      <c r="F193" s="2"/>
    </row>
    <row r="194" spans="1:6" x14ac:dyDescent="0.25">
      <c r="A194" t="str">
        <f t="shared" si="20"/>
        <v>10003678</v>
      </c>
      <c r="B194" t="str">
        <f>"AV! Sicherheitshochschuhe S2 ""3870S"" TREK C JALAS® (Größe: 47)"</f>
        <v>AV! Sicherheitshochschuhe S2 "3870S" TREK C JALAS® (Größe: 47)</v>
      </c>
      <c r="C194" t="str">
        <f t="shared" si="18"/>
        <v>Jalas</v>
      </c>
      <c r="D194" s="2"/>
      <c r="E194" s="4">
        <v>23</v>
      </c>
      <c r="F194" s="2"/>
    </row>
    <row r="195" spans="1:6" x14ac:dyDescent="0.25">
      <c r="E195" s="4">
        <f>SUM(E2:E194)</f>
        <v>4319</v>
      </c>
    </row>
  </sheetData>
  <pageMargins left="0.7" right="0.7" top="0.78740157499999996" bottom="0.78740157499999996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rptLBMultiReport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2019-07-26T14:16:27Z</dcterms:created>
  <dcterms:modified xsi:type="dcterms:W3CDTF">2019-08-13T15:40:17Z</dcterms:modified>
</cp:coreProperties>
</file>